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11"/>
  </bookViews>
  <sheets>
    <sheet name="Січень " sheetId="24" r:id="rId1"/>
    <sheet name="Лютий" sheetId="23" r:id="rId2"/>
    <sheet name="Березень" sheetId="22" r:id="rId3"/>
    <sheet name="Квітень " sheetId="21" r:id="rId4"/>
    <sheet name="Травень" sheetId="20" r:id="rId5"/>
    <sheet name="Червень" sheetId="28" r:id="rId6"/>
    <sheet name="Липень" sheetId="18" r:id="rId7"/>
    <sheet name="Серпень" sheetId="16" r:id="rId8"/>
    <sheet name="Вересень " sheetId="14" r:id="rId9"/>
    <sheet name="Жовтень " sheetId="12" r:id="rId10"/>
    <sheet name="Листопад " sheetId="9" r:id="rId11"/>
    <sheet name="Грудень" sheetId="30" r:id="rId12"/>
  </sheets>
  <definedNames>
    <definedName name="_xlnm.Print_Area" localSheetId="8">'Вересень '!$A$1:$H$177</definedName>
    <definedName name="_xlnm.Print_Area" localSheetId="11">Грудень!$A$1:$G$705</definedName>
    <definedName name="_xlnm.Print_Area" localSheetId="9">'Жовтень '!$A$1:$G$214</definedName>
    <definedName name="_xlnm.Print_Area" localSheetId="3">'Квітень '!$A$1:$H$230</definedName>
    <definedName name="_xlnm.Print_Area" localSheetId="6">Липень!$A$1:$G$126</definedName>
    <definedName name="_xlnm.Print_Area" localSheetId="10">'Листопад '!$A$1:$G$239</definedName>
    <definedName name="_xlnm.Print_Area" localSheetId="1">Лютий!$A$1:$G$394</definedName>
    <definedName name="_xlnm.Print_Area" localSheetId="0">'Січень '!$A$1:$G$207</definedName>
  </definedNames>
  <calcPr calcId="144525"/>
</workbook>
</file>

<file path=xl/calcChain.xml><?xml version="1.0" encoding="utf-8"?>
<calcChain xmlns="http://schemas.openxmlformats.org/spreadsheetml/2006/main">
  <c r="F187" i="12" l="1"/>
  <c r="F186" i="12"/>
  <c r="F171" i="12"/>
  <c r="F161" i="12"/>
  <c r="F160" i="12"/>
  <c r="F131" i="12"/>
  <c r="F130" i="12"/>
  <c r="F116" i="12"/>
  <c r="F115" i="12"/>
  <c r="F107" i="12"/>
  <c r="F108" i="12"/>
  <c r="F106" i="12"/>
  <c r="F87" i="12"/>
  <c r="F86" i="12"/>
  <c r="F77" i="12"/>
  <c r="F76" i="12"/>
  <c r="F69" i="12"/>
  <c r="F68" i="12"/>
  <c r="F62" i="12"/>
  <c r="F61" i="12"/>
  <c r="F50" i="12"/>
  <c r="F49" i="12"/>
  <c r="F43" i="12"/>
  <c r="F42" i="12"/>
  <c r="F21" i="12"/>
  <c r="F32" i="12"/>
  <c r="F31" i="12"/>
  <c r="G174" i="14"/>
  <c r="F83" i="18"/>
  <c r="F84" i="18"/>
  <c r="F85" i="18"/>
  <c r="F86" i="18"/>
  <c r="F87" i="18"/>
  <c r="F31" i="18"/>
  <c r="F32" i="18"/>
  <c r="F34" i="18"/>
  <c r="F35" i="18"/>
  <c r="F36" i="18"/>
  <c r="F37" i="18"/>
  <c r="F39" i="18"/>
  <c r="F40" i="18"/>
  <c r="F191" i="28"/>
  <c r="F135" i="28"/>
  <c r="F129" i="28"/>
  <c r="F130" i="28"/>
  <c r="F128" i="28"/>
  <c r="F115" i="28"/>
  <c r="F116" i="28"/>
  <c r="F117" i="28"/>
  <c r="F114" i="28"/>
  <c r="F106" i="28"/>
  <c r="F83" i="28"/>
  <c r="F56" i="28"/>
  <c r="F3" i="28"/>
  <c r="G32" i="24" l="1"/>
  <c r="G33" i="24" s="1"/>
  <c r="G54" i="24"/>
  <c r="G55" i="24" s="1"/>
  <c r="G48" i="9" l="1"/>
  <c r="G116" i="30" l="1"/>
  <c r="H608" i="30" l="1"/>
  <c r="F66" i="30"/>
  <c r="G685" i="30" l="1"/>
  <c r="G655" i="30"/>
  <c r="G628" i="30"/>
  <c r="G601" i="30"/>
  <c r="G574" i="30"/>
  <c r="G547" i="30"/>
  <c r="G520" i="30"/>
  <c r="G497" i="30"/>
  <c r="E497" i="30"/>
  <c r="G469" i="30"/>
  <c r="G442" i="30"/>
  <c r="G413" i="30"/>
  <c r="G385" i="30"/>
  <c r="G357" i="30"/>
  <c r="G327" i="30"/>
  <c r="G336" i="30" s="1"/>
  <c r="E327" i="30"/>
  <c r="G299" i="30"/>
  <c r="G307" i="30" s="1"/>
  <c r="G271" i="30"/>
  <c r="G279" i="30" s="1"/>
  <c r="G247" i="30"/>
  <c r="G255" i="30" s="1"/>
  <c r="E247" i="30"/>
  <c r="G220" i="30"/>
  <c r="G227" i="30" s="1"/>
  <c r="E220" i="30"/>
  <c r="G191" i="30"/>
  <c r="G198" i="30" s="1"/>
  <c r="G163" i="30"/>
  <c r="G171" i="30" s="1"/>
  <c r="G136" i="30"/>
  <c r="G143" i="30" s="1"/>
  <c r="F65" i="30"/>
  <c r="F57" i="30"/>
  <c r="F49" i="30"/>
  <c r="F50" i="30"/>
  <c r="F51" i="30"/>
  <c r="F52" i="30"/>
  <c r="F53" i="30"/>
  <c r="F54" i="30"/>
  <c r="F55" i="30"/>
  <c r="F56" i="30"/>
  <c r="F58" i="30"/>
  <c r="F59" i="30"/>
  <c r="F60" i="30"/>
  <c r="F61" i="30"/>
  <c r="F62" i="30"/>
  <c r="F63" i="30"/>
  <c r="F64" i="30"/>
  <c r="F48" i="30"/>
  <c r="G33" i="30"/>
  <c r="E33" i="30"/>
  <c r="G7" i="30"/>
  <c r="E7" i="30"/>
  <c r="G4" i="30"/>
  <c r="G700" i="30"/>
  <c r="H665" i="30"/>
  <c r="H635" i="30"/>
  <c r="H581" i="30"/>
  <c r="H504" i="30"/>
  <c r="H477" i="30"/>
  <c r="H449" i="30"/>
  <c r="H392" i="30"/>
  <c r="H279" i="30"/>
  <c r="H255" i="30"/>
  <c r="H227" i="30"/>
  <c r="H143" i="30"/>
  <c r="H93" i="30"/>
  <c r="G169" i="12"/>
  <c r="G665" i="30" l="1"/>
  <c r="F655" i="30"/>
  <c r="G695" i="30"/>
  <c r="F685" i="30"/>
  <c r="G635" i="30"/>
  <c r="F628" i="30"/>
  <c r="G608" i="30"/>
  <c r="F601" i="30"/>
  <c r="G554" i="30"/>
  <c r="F547" i="30"/>
  <c r="G581" i="30"/>
  <c r="F574" i="30"/>
  <c r="G449" i="30"/>
  <c r="F442" i="30"/>
  <c r="G527" i="30"/>
  <c r="F520" i="30"/>
  <c r="G477" i="30"/>
  <c r="F469" i="30"/>
  <c r="G504" i="30"/>
  <c r="F497" i="30"/>
  <c r="G365" i="30"/>
  <c r="F357" i="30"/>
  <c r="G392" i="30"/>
  <c r="F385" i="30"/>
  <c r="G420" i="30"/>
  <c r="F413" i="30"/>
  <c r="G93" i="30"/>
  <c r="G211" i="9"/>
  <c r="G212" i="9"/>
  <c r="G216" i="9" l="1"/>
  <c r="G701" i="30"/>
  <c r="G203" i="9"/>
  <c r="G192" i="9"/>
  <c r="G183" i="9"/>
  <c r="G176" i="9"/>
  <c r="G167" i="9"/>
  <c r="G160" i="9"/>
  <c r="G152" i="9"/>
  <c r="G140" i="9"/>
  <c r="G130" i="9"/>
  <c r="G117" i="9"/>
  <c r="G108" i="9"/>
  <c r="G95" i="9"/>
  <c r="G85" i="9"/>
  <c r="G76" i="9"/>
  <c r="G67" i="9"/>
  <c r="G58" i="9"/>
  <c r="G39" i="9"/>
  <c r="G27" i="9"/>
  <c r="G8" i="9"/>
  <c r="G17" i="9"/>
  <c r="G236" i="9"/>
  <c r="G231" i="9"/>
  <c r="G220" i="9"/>
  <c r="H216" i="9"/>
  <c r="H203" i="9"/>
  <c r="H192" i="9"/>
  <c r="H183" i="9"/>
  <c r="H160" i="9"/>
  <c r="H152" i="9"/>
  <c r="H140" i="9"/>
  <c r="H117" i="9"/>
  <c r="H76" i="9"/>
  <c r="H67" i="9"/>
  <c r="H58" i="9"/>
  <c r="H27" i="9"/>
  <c r="H8" i="9"/>
  <c r="G20" i="12"/>
  <c r="G27" i="12"/>
  <c r="G30" i="12"/>
  <c r="G41" i="12"/>
  <c r="G48" i="12"/>
  <c r="G54" i="12"/>
  <c r="G57" i="12"/>
  <c r="G60" i="12"/>
  <c r="G67" i="12"/>
  <c r="G75" i="12"/>
  <c r="G82" i="12"/>
  <c r="G85" i="12"/>
  <c r="G95" i="12"/>
  <c r="G99" i="12"/>
  <c r="G105" i="12"/>
  <c r="G114" i="12"/>
  <c r="G129" i="12"/>
  <c r="G140" i="12"/>
  <c r="G156" i="12"/>
  <c r="G159" i="12"/>
  <c r="G181" i="12"/>
  <c r="G193" i="12"/>
  <c r="G201" i="12"/>
  <c r="H211" i="12"/>
  <c r="G211" i="12"/>
  <c r="G185" i="12"/>
  <c r="H181" i="12"/>
  <c r="H169" i="12"/>
  <c r="H159" i="12"/>
  <c r="H156" i="12"/>
  <c r="H114" i="12"/>
  <c r="H105" i="12"/>
  <c r="H99" i="12"/>
  <c r="H85" i="12"/>
  <c r="H60" i="12"/>
  <c r="H57" i="12"/>
  <c r="H54" i="12"/>
  <c r="H30" i="12"/>
  <c r="H20" i="12"/>
  <c r="G105" i="14"/>
  <c r="G237" i="9" l="1"/>
  <c r="G202" i="12"/>
  <c r="G212" i="12" s="1"/>
  <c r="G166" i="14"/>
  <c r="G159" i="14"/>
  <c r="G150" i="14"/>
  <c r="G143" i="14"/>
  <c r="G131" i="14"/>
  <c r="G127" i="14"/>
  <c r="G109" i="14"/>
  <c r="G69" i="14"/>
  <c r="G64" i="14"/>
  <c r="G58" i="14"/>
  <c r="G168" i="14"/>
  <c r="G162" i="14"/>
  <c r="G154" i="14"/>
  <c r="G54" i="14"/>
  <c r="G52" i="14"/>
  <c r="H172" i="14"/>
  <c r="G172" i="14"/>
  <c r="G170" i="14"/>
  <c r="G152" i="14"/>
  <c r="H150" i="14"/>
  <c r="H145" i="14"/>
  <c r="G145" i="14"/>
  <c r="H143" i="14"/>
  <c r="G139" i="14"/>
  <c r="H137" i="14"/>
  <c r="G137" i="14"/>
  <c r="G133" i="14"/>
  <c r="H109" i="14"/>
  <c r="H105" i="14"/>
  <c r="H69" i="14"/>
  <c r="G60" i="14"/>
  <c r="H58" i="14"/>
  <c r="H52" i="14"/>
  <c r="G14" i="16"/>
  <c r="G156" i="16"/>
  <c r="G152" i="16"/>
  <c r="H148" i="16"/>
  <c r="G148" i="16"/>
  <c r="H141" i="16"/>
  <c r="G141" i="16"/>
  <c r="H134" i="16"/>
  <c r="G134" i="16"/>
  <c r="H129" i="16"/>
  <c r="G129" i="16"/>
  <c r="G123" i="16"/>
  <c r="G117" i="16"/>
  <c r="H111" i="16"/>
  <c r="G111" i="16"/>
  <c r="H102" i="16"/>
  <c r="G102" i="16"/>
  <c r="H96" i="16"/>
  <c r="G96" i="16"/>
  <c r="G91" i="16"/>
  <c r="H85" i="16"/>
  <c r="G85" i="16"/>
  <c r="G79" i="16"/>
  <c r="G72" i="16"/>
  <c r="G68" i="16"/>
  <c r="H61" i="16"/>
  <c r="G61" i="16"/>
  <c r="H54" i="16"/>
  <c r="G54" i="16"/>
  <c r="H48" i="16"/>
  <c r="G48" i="16"/>
  <c r="G33" i="16"/>
  <c r="G28" i="16"/>
  <c r="H23" i="16"/>
  <c r="G23" i="16"/>
  <c r="G18" i="16"/>
  <c r="H14" i="16"/>
  <c r="G50" i="18"/>
  <c r="G79" i="18"/>
  <c r="G123" i="18"/>
  <c r="G116" i="18"/>
  <c r="G111" i="18"/>
  <c r="G108" i="18"/>
  <c r="G97" i="18"/>
  <c r="G94" i="18"/>
  <c r="G75" i="18"/>
  <c r="G71" i="18"/>
  <c r="G66" i="18"/>
  <c r="G57" i="18"/>
  <c r="G53" i="18"/>
  <c r="G46" i="18"/>
  <c r="G26" i="18"/>
  <c r="G21" i="18"/>
  <c r="G16" i="18"/>
  <c r="G11" i="18"/>
  <c r="G7" i="18"/>
  <c r="G82" i="18"/>
  <c r="E82" i="18"/>
  <c r="G38" i="18"/>
  <c r="E38" i="18"/>
  <c r="G33" i="18"/>
  <c r="E33" i="18"/>
  <c r="G30" i="18"/>
  <c r="E30" i="18"/>
  <c r="G99" i="18"/>
  <c r="G103" i="18" s="1"/>
  <c r="G59" i="18"/>
  <c r="G62" i="18" s="1"/>
  <c r="E59" i="18"/>
  <c r="G119" i="18"/>
  <c r="H116" i="18"/>
  <c r="H111" i="18"/>
  <c r="H108" i="18"/>
  <c r="H103" i="18"/>
  <c r="H88" i="18"/>
  <c r="H79" i="18"/>
  <c r="H75" i="18"/>
  <c r="H66" i="18"/>
  <c r="H50" i="18"/>
  <c r="H46" i="18"/>
  <c r="H41" i="18"/>
  <c r="H16" i="18"/>
  <c r="H7" i="18"/>
  <c r="G130" i="28"/>
  <c r="G132" i="28" s="1"/>
  <c r="G116" i="28"/>
  <c r="G115" i="28"/>
  <c r="H192" i="28"/>
  <c r="G192" i="28"/>
  <c r="G190" i="28"/>
  <c r="G187" i="28"/>
  <c r="H185" i="28"/>
  <c r="G185" i="28"/>
  <c r="H134" i="28"/>
  <c r="G134" i="28"/>
  <c r="H132" i="28"/>
  <c r="G127" i="28"/>
  <c r="H123" i="28"/>
  <c r="G113" i="28"/>
  <c r="G109" i="28"/>
  <c r="G105" i="28"/>
  <c r="H101" i="28"/>
  <c r="G101" i="28"/>
  <c r="H98" i="28"/>
  <c r="G98" i="28"/>
  <c r="H84" i="28"/>
  <c r="G84" i="28"/>
  <c r="G82" i="28"/>
  <c r="G80" i="28"/>
  <c r="H78" i="28"/>
  <c r="G78" i="28"/>
  <c r="G57" i="28"/>
  <c r="H55" i="28"/>
  <c r="G55" i="28"/>
  <c r="G36" i="20"/>
  <c r="G33" i="20"/>
  <c r="G29" i="20"/>
  <c r="G51" i="20"/>
  <c r="H49" i="20"/>
  <c r="G49" i="20"/>
  <c r="H47" i="20"/>
  <c r="G47" i="20"/>
  <c r="H45" i="20"/>
  <c r="H43" i="20"/>
  <c r="G43" i="20"/>
  <c r="G41" i="20"/>
  <c r="H39" i="20"/>
  <c r="G39" i="20"/>
  <c r="H36" i="20"/>
  <c r="H31" i="20"/>
  <c r="G31" i="20"/>
  <c r="H20" i="20"/>
  <c r="G20" i="20"/>
  <c r="G18" i="20"/>
  <c r="G16" i="20"/>
  <c r="H14" i="20"/>
  <c r="G14" i="20"/>
  <c r="H12" i="20"/>
  <c r="G12" i="20"/>
  <c r="H10" i="20"/>
  <c r="G10" i="20"/>
  <c r="G8" i="20"/>
  <c r="H6" i="20"/>
  <c r="G6" i="20"/>
  <c r="H4" i="20"/>
  <c r="G4" i="20"/>
  <c r="G175" i="14" l="1"/>
  <c r="G88" i="18"/>
  <c r="F82" i="18"/>
  <c r="F33" i="18"/>
  <c r="F30" i="18"/>
  <c r="F38" i="18"/>
  <c r="G41" i="18"/>
  <c r="G123" i="28"/>
  <c r="G193" i="28"/>
  <c r="G157" i="16"/>
  <c r="G45" i="20"/>
  <c r="G52" i="20" s="1"/>
  <c r="G124" i="18" l="1"/>
  <c r="G226" i="21"/>
  <c r="G221" i="21"/>
  <c r="G224" i="21" s="1"/>
  <c r="G202" i="21"/>
  <c r="G185" i="21"/>
  <c r="G220" i="21"/>
  <c r="G197" i="21"/>
  <c r="E197" i="21"/>
  <c r="G193" i="21"/>
  <c r="E193" i="21"/>
  <c r="G182" i="21"/>
  <c r="G166" i="21"/>
  <c r="G127" i="21"/>
  <c r="G122" i="21"/>
  <c r="G116" i="21"/>
  <c r="G109" i="21"/>
  <c r="G112" i="21" s="1"/>
  <c r="G108" i="21"/>
  <c r="G86" i="21"/>
  <c r="G82" i="21"/>
  <c r="G83" i="21" s="1"/>
  <c r="G80" i="21"/>
  <c r="G47" i="21"/>
  <c r="G55" i="21" s="1"/>
  <c r="E47" i="21"/>
  <c r="H227" i="21"/>
  <c r="H220" i="21"/>
  <c r="H205" i="21"/>
  <c r="H201" i="21"/>
  <c r="H187" i="21"/>
  <c r="H180" i="21"/>
  <c r="H129" i="21"/>
  <c r="H127" i="21"/>
  <c r="H118" i="21"/>
  <c r="H104" i="21"/>
  <c r="H101" i="21"/>
  <c r="H87" i="21"/>
  <c r="H78" i="21"/>
  <c r="G56" i="21"/>
  <c r="G57" i="21" s="1"/>
  <c r="H55" i="21"/>
  <c r="G253" i="22"/>
  <c r="G254" i="22"/>
  <c r="G255" i="22"/>
  <c r="G256" i="22"/>
  <c r="G257" i="22"/>
  <c r="G258" i="22"/>
  <c r="G259" i="22"/>
  <c r="G260" i="22"/>
  <c r="G261" i="22"/>
  <c r="G262" i="22"/>
  <c r="G263" i="22"/>
  <c r="G264" i="22"/>
  <c r="G265" i="22"/>
  <c r="G252" i="22"/>
  <c r="G211" i="22"/>
  <c r="G210" i="22"/>
  <c r="G209" i="22"/>
  <c r="G208" i="22"/>
  <c r="G207" i="22"/>
  <c r="G206" i="22"/>
  <c r="G205" i="22"/>
  <c r="G204" i="22"/>
  <c r="G203" i="22"/>
  <c r="G202" i="22"/>
  <c r="G201" i="22"/>
  <c r="G200" i="22"/>
  <c r="G268" i="22"/>
  <c r="G269" i="22"/>
  <c r="G227" i="21" l="1"/>
  <c r="G187" i="21"/>
  <c r="G87" i="21"/>
  <c r="G129" i="21"/>
  <c r="G201" i="21"/>
  <c r="G205" i="21"/>
  <c r="G118" i="21"/>
  <c r="G101" i="21"/>
  <c r="G81" i="21"/>
  <c r="G104" i="21"/>
  <c r="G78" i="21"/>
  <c r="G180" i="21"/>
  <c r="G91" i="22"/>
  <c r="G90" i="22"/>
  <c r="G130" i="22"/>
  <c r="G131" i="22" s="1"/>
  <c r="G224" i="22"/>
  <c r="G280" i="22"/>
  <c r="G281" i="22"/>
  <c r="G282" i="22"/>
  <c r="G276" i="22"/>
  <c r="G277" i="22" s="1"/>
  <c r="G274" i="22"/>
  <c r="E274" i="22"/>
  <c r="G271" i="22"/>
  <c r="E271" i="22"/>
  <c r="G250" i="22"/>
  <c r="E250" i="22"/>
  <c r="G248" i="22"/>
  <c r="E248" i="22"/>
  <c r="G245" i="22"/>
  <c r="F245" i="22"/>
  <c r="E245" i="22"/>
  <c r="G242" i="22"/>
  <c r="E242" i="22"/>
  <c r="G220" i="22"/>
  <c r="E220" i="22"/>
  <c r="E192" i="22"/>
  <c r="G192" i="22" s="1"/>
  <c r="G189" i="22"/>
  <c r="E189" i="22"/>
  <c r="G187" i="22"/>
  <c r="G186" i="22"/>
  <c r="G185" i="22"/>
  <c r="G184" i="22"/>
  <c r="G183" i="22"/>
  <c r="G181" i="22"/>
  <c r="G180" i="22"/>
  <c r="G174" i="22"/>
  <c r="E174" i="22"/>
  <c r="G171" i="22"/>
  <c r="E171" i="22"/>
  <c r="G160" i="22"/>
  <c r="E160" i="22"/>
  <c r="G157" i="22"/>
  <c r="E157" i="22"/>
  <c r="G154" i="22"/>
  <c r="E154" i="22"/>
  <c r="G153" i="22"/>
  <c r="G152" i="22"/>
  <c r="G151" i="22"/>
  <c r="G150" i="22"/>
  <c r="G149" i="22"/>
  <c r="G148" i="22"/>
  <c r="G147" i="22"/>
  <c r="G146" i="22"/>
  <c r="G145" i="22"/>
  <c r="G144" i="22"/>
  <c r="G115" i="22"/>
  <c r="G112" i="22"/>
  <c r="E115" i="22"/>
  <c r="G114" i="22"/>
  <c r="G111" i="22"/>
  <c r="G92" i="22"/>
  <c r="E92" i="22"/>
  <c r="G95" i="22"/>
  <c r="E95" i="22"/>
  <c r="G93" i="22"/>
  <c r="G74" i="22"/>
  <c r="E74" i="22"/>
  <c r="G71" i="22"/>
  <c r="E71" i="22"/>
  <c r="G69" i="22"/>
  <c r="E69" i="22"/>
  <c r="G67" i="22"/>
  <c r="E67" i="22"/>
  <c r="G65" i="22"/>
  <c r="E65" i="22"/>
  <c r="G55" i="22"/>
  <c r="E55" i="22"/>
  <c r="G52" i="22"/>
  <c r="E52" i="22"/>
  <c r="G40" i="22"/>
  <c r="G39" i="22"/>
  <c r="G38" i="22"/>
  <c r="G37" i="22"/>
  <c r="G36" i="22"/>
  <c r="G35" i="22"/>
  <c r="G34" i="22"/>
  <c r="G33" i="22"/>
  <c r="G32" i="22"/>
  <c r="G31" i="22"/>
  <c r="G30" i="22"/>
  <c r="G29" i="22"/>
  <c r="G28" i="22"/>
  <c r="G27" i="22"/>
  <c r="G26" i="22"/>
  <c r="G25" i="22"/>
  <c r="G24" i="22"/>
  <c r="G14" i="22"/>
  <c r="E14" i="22"/>
  <c r="G10" i="22"/>
  <c r="E10" i="22"/>
  <c r="G8" i="22"/>
  <c r="E8" i="22"/>
  <c r="G7" i="22"/>
  <c r="E7" i="22"/>
  <c r="G279" i="22"/>
  <c r="G273" i="22"/>
  <c r="G272" i="22"/>
  <c r="G267" i="22"/>
  <c r="G270" i="22" s="1"/>
  <c r="G225" i="22"/>
  <c r="G226" i="22" s="1"/>
  <c r="G219" i="22"/>
  <c r="G218" i="22"/>
  <c r="G217" i="22"/>
  <c r="G216" i="22"/>
  <c r="G215" i="22"/>
  <c r="G214" i="22"/>
  <c r="G213" i="22"/>
  <c r="G199" i="22"/>
  <c r="G198" i="22"/>
  <c r="G197" i="22"/>
  <c r="G196" i="22"/>
  <c r="G195" i="22"/>
  <c r="G194" i="22"/>
  <c r="G193" i="22"/>
  <c r="G191" i="22"/>
  <c r="G190" i="22"/>
  <c r="G182" i="22"/>
  <c r="G179" i="22"/>
  <c r="G178" i="22"/>
  <c r="G177" i="22"/>
  <c r="G176" i="22"/>
  <c r="G175" i="22"/>
  <c r="G173" i="22"/>
  <c r="G172" i="22"/>
  <c r="G169" i="22"/>
  <c r="G170" i="22" s="1"/>
  <c r="G159" i="22"/>
  <c r="G158" i="22"/>
  <c r="G156" i="22"/>
  <c r="G143" i="22"/>
  <c r="G142" i="22"/>
  <c r="G141" i="22"/>
  <c r="G140" i="22"/>
  <c r="G139" i="22"/>
  <c r="G138" i="22"/>
  <c r="G137" i="22"/>
  <c r="G136" i="22"/>
  <c r="G135" i="22"/>
  <c r="G134" i="22"/>
  <c r="G133" i="22"/>
  <c r="G132" i="22"/>
  <c r="G128" i="22"/>
  <c r="G129" i="22" s="1"/>
  <c r="G126" i="22"/>
  <c r="G127" i="22" s="1"/>
  <c r="G113" i="22"/>
  <c r="G110" i="22"/>
  <c r="G109" i="22"/>
  <c r="G108" i="22"/>
  <c r="G107" i="22"/>
  <c r="G106" i="22"/>
  <c r="G105" i="22"/>
  <c r="G104" i="22"/>
  <c r="G103" i="22"/>
  <c r="G102" i="22"/>
  <c r="G101" i="22"/>
  <c r="G100" i="22"/>
  <c r="G89" i="22"/>
  <c r="G88" i="22"/>
  <c r="G87" i="22"/>
  <c r="G86" i="22"/>
  <c r="G85" i="22"/>
  <c r="G84" i="22"/>
  <c r="G83" i="22"/>
  <c r="G82" i="22"/>
  <c r="G81" i="22"/>
  <c r="G80" i="22"/>
  <c r="G79" i="22"/>
  <c r="G63" i="22"/>
  <c r="G64" i="22" s="1"/>
  <c r="G61" i="22"/>
  <c r="G60" i="22"/>
  <c r="G59" i="22"/>
  <c r="G58" i="22"/>
  <c r="G57" i="22"/>
  <c r="G54" i="22"/>
  <c r="G53" i="22"/>
  <c r="G51" i="22"/>
  <c r="G50" i="22"/>
  <c r="G49" i="22"/>
  <c r="G48" i="22"/>
  <c r="G47" i="22"/>
  <c r="G46" i="22"/>
  <c r="G44" i="22"/>
  <c r="G45" i="22" s="1"/>
  <c r="G23" i="22"/>
  <c r="G22" i="22"/>
  <c r="G21" i="22"/>
  <c r="G20" i="22"/>
  <c r="G19" i="22"/>
  <c r="G18" i="22"/>
  <c r="G17" i="22"/>
  <c r="G16" i="22"/>
  <c r="G15" i="22"/>
  <c r="G13" i="22"/>
  <c r="G12" i="22"/>
  <c r="G11" i="22"/>
  <c r="G9" i="22"/>
  <c r="G6" i="22"/>
  <c r="G5" i="22"/>
  <c r="G4" i="22"/>
  <c r="G3" i="22"/>
  <c r="G66" i="23"/>
  <c r="G67" i="23"/>
  <c r="G43" i="22" l="1"/>
  <c r="G266" i="22"/>
  <c r="G225" i="21"/>
  <c r="G228" i="21" s="1"/>
  <c r="G125" i="22"/>
  <c r="G283" i="22"/>
  <c r="G247" i="22"/>
  <c r="G168" i="22"/>
  <c r="G188" i="22"/>
  <c r="G56" i="22"/>
  <c r="G78" i="22"/>
  <c r="G99" i="22"/>
  <c r="G62" i="22"/>
  <c r="G275" i="22"/>
  <c r="G212" i="22"/>
  <c r="G221" i="22"/>
  <c r="G32" i="23"/>
  <c r="G31" i="23"/>
  <c r="G30" i="23"/>
  <c r="G29" i="23"/>
  <c r="G28" i="23"/>
  <c r="G27" i="23"/>
  <c r="G26" i="23"/>
  <c r="G25" i="23"/>
  <c r="G24" i="23"/>
  <c r="G23" i="23"/>
  <c r="G22" i="23"/>
  <c r="G21" i="23"/>
  <c r="G20" i="23"/>
  <c r="G19" i="23"/>
  <c r="G18" i="23"/>
  <c r="G17" i="23"/>
  <c r="G16" i="23"/>
  <c r="G15" i="23"/>
  <c r="G14" i="23"/>
  <c r="G13" i="23"/>
  <c r="G12" i="23"/>
  <c r="G11" i="23"/>
  <c r="G10" i="23"/>
  <c r="G9" i="23"/>
  <c r="G8" i="23"/>
  <c r="G7" i="23"/>
  <c r="G6" i="23"/>
  <c r="G5" i="23"/>
  <c r="G4" i="23"/>
  <c r="G278" i="22" l="1"/>
  <c r="G284" i="22" s="1"/>
  <c r="G341" i="23"/>
  <c r="G387" i="23"/>
  <c r="G386" i="23"/>
  <c r="G358" i="23"/>
  <c r="G359" i="23"/>
  <c r="G360" i="23"/>
  <c r="G361" i="23"/>
  <c r="G362" i="23"/>
  <c r="G363" i="23"/>
  <c r="G364" i="23"/>
  <c r="G365" i="23"/>
  <c r="G366" i="23"/>
  <c r="G367" i="23"/>
  <c r="G368" i="23"/>
  <c r="G369" i="23"/>
  <c r="G370" i="23"/>
  <c r="G371" i="23"/>
  <c r="G372" i="23"/>
  <c r="G373" i="23"/>
  <c r="G374" i="23"/>
  <c r="G375" i="23"/>
  <c r="G376" i="23"/>
  <c r="G377" i="23"/>
  <c r="G378" i="23"/>
  <c r="G379" i="23"/>
  <c r="G380" i="23"/>
  <c r="G381" i="23"/>
  <c r="G382" i="23"/>
  <c r="G383" i="23"/>
  <c r="G384" i="23"/>
  <c r="G385" i="23"/>
  <c r="G351" i="23"/>
  <c r="G350" i="23"/>
  <c r="G349" i="23"/>
  <c r="G348" i="23"/>
  <c r="G347" i="23"/>
  <c r="G346" i="23"/>
  <c r="G345" i="23"/>
  <c r="G344" i="23"/>
  <c r="G343" i="23"/>
  <c r="G342" i="23"/>
  <c r="G340" i="23"/>
  <c r="G339" i="23"/>
  <c r="G338" i="23"/>
  <c r="G337" i="23"/>
  <c r="G336" i="23"/>
  <c r="G335" i="23"/>
  <c r="G334" i="23"/>
  <c r="G333" i="23"/>
  <c r="G332" i="23"/>
  <c r="G331" i="23"/>
  <c r="G330" i="23"/>
  <c r="G299" i="23"/>
  <c r="E299" i="23"/>
  <c r="G301" i="23"/>
  <c r="G300" i="23"/>
  <c r="G298" i="23"/>
  <c r="G297" i="23"/>
  <c r="G296" i="23"/>
  <c r="G295" i="23"/>
  <c r="G294" i="23"/>
  <c r="G293" i="23"/>
  <c r="G292" i="23"/>
  <c r="G291" i="23"/>
  <c r="G290" i="23"/>
  <c r="G289" i="23"/>
  <c r="G288" i="23"/>
  <c r="G287" i="23"/>
  <c r="G286" i="23"/>
  <c r="G285" i="23"/>
  <c r="G284" i="23"/>
  <c r="G283" i="23"/>
  <c r="G282" i="23"/>
  <c r="G271" i="23"/>
  <c r="G270" i="23"/>
  <c r="G269" i="23"/>
  <c r="G268" i="23"/>
  <c r="G267" i="23"/>
  <c r="G266" i="23"/>
  <c r="G265" i="23"/>
  <c r="G264" i="23"/>
  <c r="G263" i="23"/>
  <c r="G275" i="23"/>
  <c r="G276" i="23"/>
  <c r="G277" i="23"/>
  <c r="G278" i="23"/>
  <c r="G279" i="23"/>
  <c r="G280" i="23"/>
  <c r="G281" i="23"/>
  <c r="G302" i="23"/>
  <c r="G219" i="23"/>
  <c r="E219" i="23"/>
  <c r="G205" i="24" l="1"/>
  <c r="G206" i="24" s="1"/>
  <c r="G144" i="23" l="1"/>
  <c r="G143" i="23"/>
  <c r="G142" i="23"/>
  <c r="G141" i="23"/>
  <c r="G140" i="23"/>
  <c r="G139" i="23"/>
  <c r="G138" i="23"/>
  <c r="G137" i="23"/>
  <c r="G136" i="23"/>
  <c r="G135" i="23"/>
  <c r="G134" i="23"/>
  <c r="G133" i="23"/>
  <c r="G132" i="23"/>
  <c r="G131" i="23"/>
  <c r="G130" i="23"/>
  <c r="G129" i="23"/>
  <c r="G128" i="23"/>
  <c r="G127" i="23"/>
  <c r="G126" i="23"/>
  <c r="G125" i="23"/>
  <c r="G124" i="23"/>
  <c r="G123" i="23"/>
  <c r="G122" i="23"/>
  <c r="G121" i="23"/>
  <c r="G120" i="23"/>
  <c r="G119" i="23"/>
  <c r="G118" i="23"/>
  <c r="G117" i="23"/>
  <c r="G116" i="23"/>
  <c r="G115" i="23"/>
  <c r="G114" i="23"/>
  <c r="G113" i="23"/>
  <c r="G112" i="23"/>
  <c r="G111" i="23"/>
  <c r="E111" i="23"/>
  <c r="G110" i="23"/>
  <c r="G109" i="23"/>
  <c r="G108" i="23"/>
  <c r="G107" i="23"/>
  <c r="G106" i="23"/>
  <c r="G105" i="23"/>
  <c r="G104" i="23"/>
  <c r="G103" i="23"/>
  <c r="G102" i="23"/>
  <c r="G71" i="23"/>
  <c r="G70" i="23"/>
  <c r="G69" i="23"/>
  <c r="G68" i="23"/>
  <c r="F3" i="23"/>
  <c r="G3" i="23" s="1"/>
  <c r="G35" i="23" s="1"/>
  <c r="G314" i="23"/>
  <c r="G315" i="23"/>
  <c r="G316" i="23"/>
  <c r="G313" i="23"/>
  <c r="G262" i="23"/>
  <c r="G261" i="23"/>
  <c r="G260" i="23"/>
  <c r="G259" i="23"/>
  <c r="G258" i="23"/>
  <c r="G257" i="23"/>
  <c r="G256" i="23"/>
  <c r="G255" i="23"/>
  <c r="G254" i="23"/>
  <c r="G253" i="23"/>
  <c r="G252" i="23"/>
  <c r="G251" i="23"/>
  <c r="G250" i="23"/>
  <c r="G249" i="23"/>
  <c r="G248" i="23"/>
  <c r="G247" i="23"/>
  <c r="G246" i="23"/>
  <c r="G245" i="23"/>
  <c r="G244" i="23"/>
  <c r="G243" i="23"/>
  <c r="G242" i="23"/>
  <c r="G241" i="23"/>
  <c r="G240" i="23"/>
  <c r="G239" i="23"/>
  <c r="G238" i="23"/>
  <c r="G237" i="23"/>
  <c r="G236" i="23"/>
  <c r="G235" i="23"/>
  <c r="G234" i="23"/>
  <c r="G233" i="23"/>
  <c r="G232" i="23"/>
  <c r="G191" i="23"/>
  <c r="G192" i="23"/>
  <c r="G193" i="23"/>
  <c r="G194" i="23"/>
  <c r="G195" i="23"/>
  <c r="G196" i="23"/>
  <c r="G197" i="23"/>
  <c r="G198" i="23"/>
  <c r="G199" i="23"/>
  <c r="G200" i="23"/>
  <c r="G201" i="23"/>
  <c r="G202" i="23"/>
  <c r="G203" i="23"/>
  <c r="G204" i="23"/>
  <c r="G205" i="23"/>
  <c r="G206" i="23"/>
  <c r="G207" i="23"/>
  <c r="G208" i="23"/>
  <c r="G85" i="23"/>
  <c r="G86" i="23"/>
  <c r="G87" i="23"/>
  <c r="G88" i="23"/>
  <c r="G89" i="23"/>
  <c r="G90" i="23"/>
  <c r="G91" i="23"/>
  <c r="G92" i="23"/>
  <c r="G93" i="23"/>
  <c r="G94" i="23"/>
  <c r="G95" i="23"/>
  <c r="G96" i="23"/>
  <c r="G97" i="23"/>
  <c r="G98" i="23"/>
  <c r="G99" i="23"/>
  <c r="G100" i="23"/>
  <c r="G101" i="23"/>
  <c r="G42" i="23"/>
  <c r="G39" i="23"/>
  <c r="G40" i="23"/>
  <c r="G41" i="23"/>
  <c r="G43" i="23"/>
  <c r="G44" i="23"/>
  <c r="G45" i="23"/>
  <c r="G46" i="23"/>
  <c r="G47" i="23"/>
  <c r="G48" i="23"/>
  <c r="G49" i="23"/>
  <c r="G50" i="23"/>
  <c r="G51" i="23"/>
  <c r="G52" i="23"/>
  <c r="G53" i="23"/>
  <c r="G54" i="23"/>
  <c r="G55" i="23"/>
  <c r="G56" i="23"/>
  <c r="G57" i="23"/>
  <c r="G58" i="23"/>
  <c r="G59" i="23"/>
  <c r="G60" i="23"/>
  <c r="G61" i="23"/>
  <c r="G62" i="23"/>
  <c r="G63" i="23"/>
  <c r="G64" i="23"/>
  <c r="G65" i="23"/>
  <c r="G38" i="23"/>
  <c r="G392" i="23"/>
  <c r="G393" i="23" s="1"/>
  <c r="G389" i="23"/>
  <c r="G388" i="23"/>
  <c r="G357" i="23"/>
  <c r="G355" i="23"/>
  <c r="G356" i="23" s="1"/>
  <c r="G353" i="23"/>
  <c r="G354" i="23" s="1"/>
  <c r="G329" i="23"/>
  <c r="G328" i="23"/>
  <c r="G327" i="23"/>
  <c r="G326" i="23"/>
  <c r="G325" i="23"/>
  <c r="G324" i="23"/>
  <c r="G323" i="23"/>
  <c r="G322" i="23"/>
  <c r="G321" i="23"/>
  <c r="G318" i="23"/>
  <c r="G319" i="23" s="1"/>
  <c r="G311" i="23"/>
  <c r="G310" i="23"/>
  <c r="G309" i="23"/>
  <c r="G308" i="23"/>
  <c r="G305" i="23"/>
  <c r="G304" i="23"/>
  <c r="G303" i="23"/>
  <c r="G231" i="23"/>
  <c r="G230" i="23"/>
  <c r="G229" i="23"/>
  <c r="G217" i="23"/>
  <c r="G228" i="23" s="1"/>
  <c r="G213" i="23"/>
  <c r="G212" i="23"/>
  <c r="G211" i="23"/>
  <c r="G210" i="23"/>
  <c r="G209" i="23"/>
  <c r="G188" i="23"/>
  <c r="G189" i="23" s="1"/>
  <c r="G186" i="23"/>
  <c r="G187" i="23" s="1"/>
  <c r="G184" i="23"/>
  <c r="G185" i="23" s="1"/>
  <c r="G150" i="23"/>
  <c r="G149" i="23"/>
  <c r="G148" i="23"/>
  <c r="G82" i="23"/>
  <c r="G83" i="23" s="1"/>
  <c r="G80" i="23"/>
  <c r="G81" i="23" s="1"/>
  <c r="G78" i="23"/>
  <c r="G77" i="23"/>
  <c r="G76" i="23"/>
  <c r="G75" i="23"/>
  <c r="G74" i="23"/>
  <c r="G36" i="23"/>
  <c r="G37" i="23" s="1"/>
  <c r="G179" i="24"/>
  <c r="G202" i="24"/>
  <c r="G200" i="24"/>
  <c r="G181" i="24"/>
  <c r="G182" i="24" s="1"/>
  <c r="G183" i="24"/>
  <c r="G184" i="24" s="1"/>
  <c r="G164" i="24"/>
  <c r="G165" i="24" s="1"/>
  <c r="G162" i="24"/>
  <c r="G163" i="24" s="1"/>
  <c r="G160" i="24"/>
  <c r="G143" i="24"/>
  <c r="G127" i="24"/>
  <c r="G114" i="24"/>
  <c r="G115" i="24" s="1"/>
  <c r="G112" i="24"/>
  <c r="G92" i="24"/>
  <c r="G93" i="24" s="1"/>
  <c r="G90" i="24"/>
  <c r="G91" i="24" s="1"/>
  <c r="G88" i="24"/>
  <c r="G89" i="24" s="1"/>
  <c r="G86" i="24"/>
  <c r="G71" i="24"/>
  <c r="G56" i="24"/>
  <c r="G57" i="24" s="1"/>
  <c r="G30" i="24"/>
  <c r="G47" i="24"/>
  <c r="G70" i="24"/>
  <c r="G45" i="24"/>
  <c r="G159" i="24"/>
  <c r="G197" i="24"/>
  <c r="G196" i="24"/>
  <c r="G195" i="24"/>
  <c r="G194" i="24"/>
  <c r="G193" i="24"/>
  <c r="G192" i="24"/>
  <c r="G191" i="24"/>
  <c r="G190" i="24"/>
  <c r="G189" i="24"/>
  <c r="G188" i="24"/>
  <c r="G186" i="24"/>
  <c r="G187" i="24"/>
  <c r="F185" i="24"/>
  <c r="E185" i="24"/>
  <c r="G167" i="24"/>
  <c r="G168" i="24"/>
  <c r="G169" i="24"/>
  <c r="G170" i="24"/>
  <c r="G171" i="24"/>
  <c r="G172" i="24"/>
  <c r="G173" i="24"/>
  <c r="G174" i="24"/>
  <c r="G175" i="24"/>
  <c r="G176" i="24"/>
  <c r="F166" i="24"/>
  <c r="E166" i="24"/>
  <c r="F158" i="24"/>
  <c r="G158" i="24" s="1"/>
  <c r="F157" i="24"/>
  <c r="G157" i="24" s="1"/>
  <c r="F156" i="24"/>
  <c r="G156" i="24" s="1"/>
  <c r="F155" i="24"/>
  <c r="G155" i="24" s="1"/>
  <c r="F154" i="24"/>
  <c r="G154" i="24" s="1"/>
  <c r="F153" i="24"/>
  <c r="G153" i="24" s="1"/>
  <c r="F152" i="24"/>
  <c r="G152" i="24" s="1"/>
  <c r="F151" i="24"/>
  <c r="G151" i="24" s="1"/>
  <c r="F150" i="24"/>
  <c r="G150" i="24" s="1"/>
  <c r="F146" i="24"/>
  <c r="G146" i="24" s="1"/>
  <c r="G147" i="24"/>
  <c r="G148" i="24"/>
  <c r="G149" i="24"/>
  <c r="G145" i="24"/>
  <c r="G130" i="24"/>
  <c r="G131" i="24"/>
  <c r="G132" i="24"/>
  <c r="G133" i="24"/>
  <c r="G134" i="24"/>
  <c r="G135" i="24"/>
  <c r="G136" i="24"/>
  <c r="G137" i="24"/>
  <c r="G138" i="24"/>
  <c r="G139" i="24"/>
  <c r="G140" i="24"/>
  <c r="F129" i="24"/>
  <c r="E129" i="24"/>
  <c r="G126" i="24"/>
  <c r="G125" i="24"/>
  <c r="G117" i="24"/>
  <c r="G118" i="24"/>
  <c r="G119" i="24"/>
  <c r="G120" i="24"/>
  <c r="G121" i="24"/>
  <c r="G122" i="24"/>
  <c r="G123" i="24"/>
  <c r="G124" i="24"/>
  <c r="F116" i="24"/>
  <c r="G116" i="24" s="1"/>
  <c r="G111" i="24"/>
  <c r="G110" i="24"/>
  <c r="G109" i="24"/>
  <c r="G108" i="24"/>
  <c r="G103" i="24"/>
  <c r="G98" i="24"/>
  <c r="G96" i="24"/>
  <c r="G107" i="24"/>
  <c r="G106" i="24"/>
  <c r="G105" i="24"/>
  <c r="G104" i="24"/>
  <c r="G102" i="24"/>
  <c r="G101" i="24"/>
  <c r="G100" i="24"/>
  <c r="G99" i="24"/>
  <c r="G97" i="24"/>
  <c r="G95" i="24"/>
  <c r="F94" i="24"/>
  <c r="E94" i="24"/>
  <c r="G83" i="24"/>
  <c r="G82" i="24"/>
  <c r="G81" i="24"/>
  <c r="G80" i="24"/>
  <c r="G79" i="24"/>
  <c r="G78" i="24"/>
  <c r="G77" i="24"/>
  <c r="G76" i="24"/>
  <c r="G75" i="24"/>
  <c r="G74" i="24"/>
  <c r="F73" i="24"/>
  <c r="E73" i="24"/>
  <c r="G61" i="24"/>
  <c r="G62" i="24"/>
  <c r="G63" i="24"/>
  <c r="G64" i="24"/>
  <c r="G65" i="24"/>
  <c r="G66" i="24"/>
  <c r="G67" i="24"/>
  <c r="G68" i="24"/>
  <c r="G69" i="24"/>
  <c r="G60" i="24"/>
  <c r="G59" i="24"/>
  <c r="F58" i="24"/>
  <c r="E58" i="24"/>
  <c r="F52" i="24"/>
  <c r="G52" i="24" s="1"/>
  <c r="G50" i="24"/>
  <c r="G51" i="24"/>
  <c r="G49" i="24"/>
  <c r="G44" i="24"/>
  <c r="G43" i="24"/>
  <c r="G42" i="24"/>
  <c r="G41" i="24"/>
  <c r="G40" i="24"/>
  <c r="G39" i="24"/>
  <c r="G38" i="24"/>
  <c r="G37" i="24"/>
  <c r="G36" i="24"/>
  <c r="F35" i="24"/>
  <c r="G35" i="24" s="1"/>
  <c r="F34" i="24"/>
  <c r="E34" i="24"/>
  <c r="G29" i="24"/>
  <c r="G27" i="24"/>
  <c r="G24" i="24"/>
  <c r="G23" i="24"/>
  <c r="G22" i="24"/>
  <c r="G21" i="24"/>
  <c r="E12" i="24"/>
  <c r="F12" i="24"/>
  <c r="F11" i="24"/>
  <c r="G11" i="24" s="1"/>
  <c r="F10" i="24"/>
  <c r="G10" i="24" s="1"/>
  <c r="F9" i="24"/>
  <c r="G9" i="24" s="1"/>
  <c r="F8" i="24"/>
  <c r="G8" i="24" s="1"/>
  <c r="F7" i="24"/>
  <c r="G7" i="24" s="1"/>
  <c r="F6" i="24"/>
  <c r="G6" i="24" s="1"/>
  <c r="F5" i="24"/>
  <c r="G5" i="24" s="1"/>
  <c r="F4" i="24"/>
  <c r="G4" i="24" s="1"/>
  <c r="G13" i="24"/>
  <c r="G14" i="24"/>
  <c r="G15" i="24"/>
  <c r="G16" i="24"/>
  <c r="G17" i="24"/>
  <c r="G18" i="24"/>
  <c r="G19" i="24"/>
  <c r="G20" i="24"/>
  <c r="G25" i="24"/>
  <c r="G26" i="24"/>
  <c r="G28" i="24"/>
  <c r="F3" i="24"/>
  <c r="G3" i="24" s="1"/>
  <c r="G53" i="24" l="1"/>
  <c r="G128" i="24"/>
  <c r="G161" i="24"/>
  <c r="G185" i="24"/>
  <c r="G201" i="24" s="1"/>
  <c r="G203" i="24"/>
  <c r="G34" i="24"/>
  <c r="G48" i="24" s="1"/>
  <c r="G73" i="23"/>
  <c r="G391" i="23"/>
  <c r="G307" i="23"/>
  <c r="G273" i="23"/>
  <c r="G317" i="23"/>
  <c r="G190" i="23"/>
  <c r="G216" i="23" s="1"/>
  <c r="G352" i="23"/>
  <c r="G79" i="23"/>
  <c r="G147" i="23"/>
  <c r="G183" i="23" s="1"/>
  <c r="G312" i="23"/>
  <c r="G84" i="23"/>
  <c r="G146" i="23" s="1"/>
  <c r="G166" i="24"/>
  <c r="G180" i="24" s="1"/>
  <c r="G73" i="24"/>
  <c r="G87" i="24" s="1"/>
  <c r="G129" i="24"/>
  <c r="G144" i="24" s="1"/>
  <c r="G94" i="24"/>
  <c r="G113" i="24" s="1"/>
  <c r="G58" i="24"/>
  <c r="G72" i="24" s="1"/>
  <c r="G12" i="24"/>
  <c r="G31" i="24" s="1"/>
  <c r="G204" i="24" l="1"/>
  <c r="G207" i="24" s="1"/>
  <c r="G394" i="23"/>
</calcChain>
</file>

<file path=xl/sharedStrings.xml><?xml version="1.0" encoding="utf-8"?>
<sst xmlns="http://schemas.openxmlformats.org/spreadsheetml/2006/main" count="6068" uniqueCount="676">
  <si>
    <t>№ п/п</t>
  </si>
  <si>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</si>
  <si>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</si>
  <si>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</si>
  <si>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</si>
  <si>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</si>
  <si>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</si>
  <si>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</si>
  <si>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м2</t>
  </si>
  <si>
    <t>Всього:</t>
  </si>
  <si>
    <t>Рідке мило</t>
  </si>
  <si>
    <t>Засіб для миття посуду</t>
  </si>
  <si>
    <t>Пакети для сміття</t>
  </si>
  <si>
    <t>уп</t>
  </si>
  <si>
    <t>Туалетний папір</t>
  </si>
  <si>
    <t>пар</t>
  </si>
  <si>
    <t>Паперові рушники</t>
  </si>
  <si>
    <t>Рушник</t>
  </si>
  <si>
    <t>Бак для води</t>
  </si>
  <si>
    <t>кг</t>
  </si>
  <si>
    <t>Кулер для води</t>
  </si>
  <si>
    <t>Пляшка з питною водою</t>
  </si>
  <si>
    <t>КЗШ № 19</t>
  </si>
  <si>
    <t>пач.</t>
  </si>
  <si>
    <t>КГ № 21</t>
  </si>
  <si>
    <t>КЗШ № 31</t>
  </si>
  <si>
    <t>КЛ № 35</t>
  </si>
  <si>
    <t>КЗШ № 43</t>
  </si>
  <si>
    <t>Цемент</t>
  </si>
  <si>
    <t>КГ № 51</t>
  </si>
  <si>
    <t>м</t>
  </si>
  <si>
    <t>Цегла</t>
  </si>
  <si>
    <t>КГ № 58</t>
  </si>
  <si>
    <t>КСШ № 70</t>
  </si>
  <si>
    <t>Мило рідке</t>
  </si>
  <si>
    <t>КГ № 72</t>
  </si>
  <si>
    <t>КГ № 74</t>
  </si>
  <si>
    <t>КГ № 91</t>
  </si>
  <si>
    <t>КЛ № 107</t>
  </si>
  <si>
    <t>КЛ № 113</t>
  </si>
  <si>
    <t>КЛ № 119</t>
  </si>
  <si>
    <t>КЗШ № 120</t>
  </si>
  <si>
    <t>КГ № 124</t>
  </si>
  <si>
    <t>КПНЛ</t>
  </si>
  <si>
    <t>КГ № 113</t>
  </si>
  <si>
    <t>КГ № 41</t>
  </si>
  <si>
    <t>Солодощі</t>
  </si>
  <si>
    <t>Мікрохвильова піч</t>
  </si>
  <si>
    <t>Конвектор</t>
  </si>
  <si>
    <t>Роутер</t>
  </si>
  <si>
    <t>Дошка для прасування</t>
  </si>
  <si>
    <t>Шампунь</t>
  </si>
  <si>
    <t>Зубна паста</t>
  </si>
  <si>
    <t>Прокладки жіночі</t>
  </si>
  <si>
    <t>Примітка</t>
  </si>
  <si>
    <t>КГ №14</t>
  </si>
  <si>
    <t>Хлібці</t>
  </si>
  <si>
    <t>Чай</t>
  </si>
  <si>
    <t>Цукор</t>
  </si>
  <si>
    <t>Подушки</t>
  </si>
  <si>
    <t>Підковдра б/в</t>
  </si>
  <si>
    <t>КСШ № 107</t>
  </si>
  <si>
    <t>Разом за травень по КЗШ:</t>
  </si>
  <si>
    <t>фахівець ЦБВО Ірина Моря</t>
  </si>
  <si>
    <t>КГ № 17</t>
  </si>
  <si>
    <t>Аптечка</t>
  </si>
  <si>
    <t>Телевізор</t>
  </si>
  <si>
    <t>Ролети тканинні</t>
  </si>
  <si>
    <t>Колорант</t>
  </si>
  <si>
    <t>КГ № 68</t>
  </si>
  <si>
    <t>КГ № 122</t>
  </si>
  <si>
    <t>Ковдри</t>
  </si>
  <si>
    <t>КСШ № 74</t>
  </si>
  <si>
    <t>Пензли</t>
  </si>
  <si>
    <t>Валік</t>
  </si>
  <si>
    <t>Ліхтар</t>
  </si>
  <si>
    <t>л</t>
  </si>
  <si>
    <t>Силікон</t>
  </si>
  <si>
    <t>Блок живлення</t>
  </si>
  <si>
    <t>Розетка зовнішня</t>
  </si>
  <si>
    <t>Фарба біла</t>
  </si>
  <si>
    <t>Шпатель</t>
  </si>
  <si>
    <t>Граблі розсувні</t>
  </si>
  <si>
    <t>Мітла вулична</t>
  </si>
  <si>
    <t>Бензин</t>
  </si>
  <si>
    <t>Спальний мішок</t>
  </si>
  <si>
    <t>Мило туалетне</t>
  </si>
  <si>
    <t>пач</t>
  </si>
  <si>
    <t>КЗШ № 21</t>
  </si>
  <si>
    <t>Плед б/в</t>
  </si>
  <si>
    <t>Рушники паперові</t>
  </si>
  <si>
    <t>КЗШ № 70</t>
  </si>
  <si>
    <t>КЗШ № 119</t>
  </si>
  <si>
    <t>Прокладки</t>
  </si>
  <si>
    <t>Серветки вологі</t>
  </si>
  <si>
    <t>Рушник паперовий</t>
  </si>
  <si>
    <t>КЗШ № 124</t>
  </si>
  <si>
    <t>ДОВІРА</t>
  </si>
  <si>
    <t>Благодійні внески за СІЧЕНЬ 2023 рік.</t>
  </si>
  <si>
    <t>Стіл та 2 стільця</t>
  </si>
  <si>
    <t>Килим</t>
  </si>
  <si>
    <t>Мольберт</t>
  </si>
  <si>
    <t>Крейда кольорова</t>
  </si>
  <si>
    <t>Кольорові олівці</t>
  </si>
  <si>
    <t>Глина для моделювання</t>
  </si>
  <si>
    <t>Воскові олівці</t>
  </si>
  <si>
    <t>Конструктор Лего</t>
  </si>
  <si>
    <t>Фарба</t>
  </si>
  <si>
    <t>Вода питна (5л)</t>
  </si>
  <si>
    <t>Батарейки</t>
  </si>
  <si>
    <t>Батарейка крона</t>
  </si>
  <si>
    <t>Батарейка тип Д</t>
  </si>
  <si>
    <t>Ложка одноразова</t>
  </si>
  <si>
    <t>Склянка одноразова</t>
  </si>
  <si>
    <t>Ліхтарик</t>
  </si>
  <si>
    <t xml:space="preserve">Фільтри </t>
  </si>
  <si>
    <t>Теплова пушка</t>
  </si>
  <si>
    <t>Каністра для води</t>
  </si>
  <si>
    <t>Лампи на сонячних батареях</t>
  </si>
  <si>
    <t>Павербанк</t>
  </si>
  <si>
    <t>Термос</t>
  </si>
  <si>
    <t>Стакани одноразові</t>
  </si>
  <si>
    <t>Контейнер харчовий</t>
  </si>
  <si>
    <t>Дизильне пальне</t>
  </si>
  <si>
    <t>л/кг</t>
  </si>
  <si>
    <t>140/118</t>
  </si>
  <si>
    <t>Бензин А-95</t>
  </si>
  <si>
    <t>100/78</t>
  </si>
  <si>
    <t>40/30,4</t>
  </si>
  <si>
    <t>140/119</t>
  </si>
  <si>
    <t>Каністра для води 10 л.</t>
  </si>
  <si>
    <t>80/62</t>
  </si>
  <si>
    <t>Пральна машина ГОРЕНІЄ</t>
  </si>
  <si>
    <t>СИТ.Фільтр</t>
  </si>
  <si>
    <t>Електроводонагрівач НОВАТЕК</t>
  </si>
  <si>
    <t>100/77</t>
  </si>
  <si>
    <t>Машина пральна</t>
  </si>
  <si>
    <t>Рейка</t>
  </si>
  <si>
    <t>Тарпаулін</t>
  </si>
  <si>
    <t>Бензиновий генератор</t>
  </si>
  <si>
    <t>ПЛАНШЕТ</t>
  </si>
  <si>
    <t>КГ № 118</t>
  </si>
  <si>
    <t>Благодійні внески за ЛЮТИЙ 2023 рік.</t>
  </si>
  <si>
    <t>Водонагрівач електричний</t>
  </si>
  <si>
    <t>Ліхтарі малі</t>
  </si>
  <si>
    <t>Каністра</t>
  </si>
  <si>
    <t>Тарілка одноразова</t>
  </si>
  <si>
    <t>Мішки</t>
  </si>
  <si>
    <t>Ковдра,подушка,матрац</t>
  </si>
  <si>
    <t>Пледи нові</t>
  </si>
  <si>
    <t>Подушка</t>
  </si>
  <si>
    <t>Картопляне пюре</t>
  </si>
  <si>
    <t>Хліб тривалого зберігання</t>
  </si>
  <si>
    <t>Консерви рибні</t>
  </si>
  <si>
    <t>Консерви м’ясні 2,9</t>
  </si>
  <si>
    <t>Консерви м’ясні 250/300г</t>
  </si>
  <si>
    <t>Паштет печинковий</t>
  </si>
  <si>
    <t>Кава</t>
  </si>
  <si>
    <t>Памперси</t>
  </si>
  <si>
    <t>Тампони жіночі</t>
  </si>
  <si>
    <t>Продуктові набори 3кг</t>
  </si>
  <si>
    <t>Батарейка</t>
  </si>
  <si>
    <t>компл.</t>
  </si>
  <si>
    <t>уп.</t>
  </si>
  <si>
    <t>Стакани паперові</t>
  </si>
  <si>
    <t>Масляний радіатор</t>
  </si>
  <si>
    <t>Ковдра 145*215 см</t>
  </si>
  <si>
    <t>Подушка 50*70см</t>
  </si>
  <si>
    <t>Матрац ватний 70*190см</t>
  </si>
  <si>
    <t>Розкладачка м’яка "МОЗ", матрац м’який для розкладачки</t>
  </si>
  <si>
    <t>Ковдра</t>
  </si>
  <si>
    <t>Розчинна кава</t>
  </si>
  <si>
    <t>Ложки одноразові</t>
  </si>
  <si>
    <t>Прокладки,тампони,жіночі набори</t>
  </si>
  <si>
    <t>Тарілкі одноразові</t>
  </si>
  <si>
    <t>Туалетний папір стандарт</t>
  </si>
  <si>
    <t>Напій молочний</t>
  </si>
  <si>
    <t>Мішки для сміття</t>
  </si>
  <si>
    <t>Вода 5л.</t>
  </si>
  <si>
    <t>Продуктовий набір (Стернюк)</t>
  </si>
  <si>
    <t>Ліхтар середній</t>
  </si>
  <si>
    <t>Павербанк,батарея</t>
  </si>
  <si>
    <t>Бензін-А95</t>
  </si>
  <si>
    <t>Машина пральна ІНДЕЗІТ</t>
  </si>
  <si>
    <t>Памперси дитячі</t>
  </si>
  <si>
    <t>Молочні коктелі</t>
  </si>
  <si>
    <t>Засоби жіночої гігієни</t>
  </si>
  <si>
    <t>Мішок білий</t>
  </si>
  <si>
    <t>Аптечка медична</t>
  </si>
  <si>
    <t>Ліхтарик середній</t>
  </si>
  <si>
    <t>Кава розчинна</t>
  </si>
  <si>
    <t>Продовольчий набір</t>
  </si>
  <si>
    <t>Вода 5л</t>
  </si>
  <si>
    <t>Какао-порошок</t>
  </si>
  <si>
    <t>Ліхтарик малий</t>
  </si>
  <si>
    <t>бан.</t>
  </si>
  <si>
    <t>Дизельне паливо</t>
  </si>
  <si>
    <t>Павкрбанк,батарея</t>
  </si>
  <si>
    <t>Ліхтар малий</t>
  </si>
  <si>
    <t>К-т батарейок</t>
  </si>
  <si>
    <t>К-т (ковдра,матрац,подушка)</t>
  </si>
  <si>
    <t>Вода(1л)</t>
  </si>
  <si>
    <t>Мило господарське</t>
  </si>
  <si>
    <t>Тарілки одноразові</t>
  </si>
  <si>
    <t>Консерви м’ясні</t>
  </si>
  <si>
    <t>Кукурудзяні хлоп’я</t>
  </si>
  <si>
    <t>Молоко сгущене</t>
  </si>
  <si>
    <t>Тушонка м’ясна</t>
  </si>
  <si>
    <t>Родзінки (1кг)</t>
  </si>
  <si>
    <t xml:space="preserve">Набір харчовий </t>
  </si>
  <si>
    <t>б.</t>
  </si>
  <si>
    <t>Скрветки вологі</t>
  </si>
  <si>
    <t>Пюре</t>
  </si>
  <si>
    <t xml:space="preserve">Паштет курячий </t>
  </si>
  <si>
    <t>Філтри для води</t>
  </si>
  <si>
    <t>КГ№ 74</t>
  </si>
  <si>
    <t>Пісок</t>
  </si>
  <si>
    <t>Шпаклівка (25)</t>
  </si>
  <si>
    <t>Шпатлівка фініш (5)</t>
  </si>
  <si>
    <t>Ковдра,матрац, подушка</t>
  </si>
  <si>
    <t>Каністра 20л</t>
  </si>
  <si>
    <t>Вода 1.5л.</t>
  </si>
  <si>
    <t>Консерви м’ясні 300г</t>
  </si>
  <si>
    <t>Жіночі набори</t>
  </si>
  <si>
    <t>Серветка волога</t>
  </si>
  <si>
    <t>Ліхтарик маленький</t>
  </si>
  <si>
    <t>Електрочайник</t>
  </si>
  <si>
    <t>Комод пластиковий</t>
  </si>
  <si>
    <t>Холодильник</t>
  </si>
  <si>
    <t>Вішалка для одягу</t>
  </si>
  <si>
    <t>Морозильна камера</t>
  </si>
  <si>
    <t>Гігієнічний набір</t>
  </si>
  <si>
    <t>набір</t>
  </si>
  <si>
    <t>20/17</t>
  </si>
  <si>
    <t xml:space="preserve">Радіатор </t>
  </si>
  <si>
    <t>Віник</t>
  </si>
  <si>
    <t>Чайник електричний</t>
  </si>
  <si>
    <t>Компакт церсаніт</t>
  </si>
  <si>
    <t>Труба</t>
  </si>
  <si>
    <t>Кран</t>
  </si>
  <si>
    <t>Гофра унітазна</t>
  </si>
  <si>
    <t>Тройник</t>
  </si>
  <si>
    <t>Зошит А5</t>
  </si>
  <si>
    <t>ЛЕД лампа</t>
  </si>
  <si>
    <t>Диск по дереву</t>
  </si>
  <si>
    <t>Бур Зенит</t>
  </si>
  <si>
    <t>Тонер</t>
  </si>
  <si>
    <t>Чорнило</t>
  </si>
  <si>
    <t>Диск по металу</t>
  </si>
  <si>
    <t>Скотч двусторонній</t>
  </si>
  <si>
    <t>Резина для тачки</t>
  </si>
  <si>
    <t>Мастило для ел. Пили</t>
  </si>
  <si>
    <t>Мастило д/генератора</t>
  </si>
  <si>
    <t>Перфлікс</t>
  </si>
  <si>
    <t>Світильник</t>
  </si>
  <si>
    <t xml:space="preserve">Провід </t>
  </si>
  <si>
    <t>Кабель силовий</t>
  </si>
  <si>
    <t>Труба гофрована</t>
  </si>
  <si>
    <t>Рукавички робочі</t>
  </si>
  <si>
    <t xml:space="preserve">Розетка </t>
  </si>
  <si>
    <t>Вилка з заземленням</t>
  </si>
  <si>
    <t>Ізоляційна стрічка</t>
  </si>
  <si>
    <t>Кабель КГ 0,66 КВ</t>
  </si>
  <si>
    <t>ЛВ 700 світлодіодна</t>
  </si>
  <si>
    <t>Стяжки нейлонові</t>
  </si>
  <si>
    <t>Вита пара провід</t>
  </si>
  <si>
    <t>Замок дверний</t>
  </si>
  <si>
    <t>Картридж для принтера</t>
  </si>
  <si>
    <t xml:space="preserve">Ліхтарі </t>
  </si>
  <si>
    <t>Каністри 20л</t>
  </si>
  <si>
    <t>Картопляне пюре 4кг</t>
  </si>
  <si>
    <t>Вода 1,5л</t>
  </si>
  <si>
    <t>Разом за лютий по КЗШ:</t>
  </si>
  <si>
    <t>Морозильний лар</t>
  </si>
  <si>
    <t>Плитка стельова</t>
  </si>
  <si>
    <t>Клей для плитки</t>
  </si>
  <si>
    <t>Щітка малярна</t>
  </si>
  <si>
    <t>Макловіца</t>
  </si>
  <si>
    <t>Грунтовка</t>
  </si>
  <si>
    <t>Перчатки гумові</t>
  </si>
  <si>
    <t>Уайт спірит(5л)</t>
  </si>
  <si>
    <t xml:space="preserve">Сік </t>
  </si>
  <si>
    <t>Пюре дитяче</t>
  </si>
  <si>
    <t>Продукти швидкого приготування</t>
  </si>
  <si>
    <t xml:space="preserve">Спальний мішок </t>
  </si>
  <si>
    <t>Бензин А 95</t>
  </si>
  <si>
    <t>20/16</t>
  </si>
  <si>
    <t>Ліхтарі</t>
  </si>
  <si>
    <t>Ковдра,матрац,подушка</t>
  </si>
  <si>
    <t>Хліб довготривалого зберігання</t>
  </si>
  <si>
    <t>Бензин А95</t>
  </si>
  <si>
    <t>Каністри</t>
  </si>
  <si>
    <t>Кортопляне пюре, 4кг</t>
  </si>
  <si>
    <t>банка</t>
  </si>
  <si>
    <t>Графічний планшет</t>
  </si>
  <si>
    <t>Довіра</t>
  </si>
  <si>
    <t>Благодійні внески за березень 2023 рік.</t>
  </si>
  <si>
    <t>Підручники</t>
  </si>
  <si>
    <t>Сік 200гр.</t>
  </si>
  <si>
    <t>Продукти швидкого харчування</t>
  </si>
  <si>
    <t xml:space="preserve">Мило </t>
  </si>
  <si>
    <t>Печиво різне</t>
  </si>
  <si>
    <t>Дитяче харчування</t>
  </si>
  <si>
    <t>Різноманітні крупи</t>
  </si>
  <si>
    <t>Протеїн коктель</t>
  </si>
  <si>
    <t>Гігієнічні набори</t>
  </si>
  <si>
    <t>Круасани</t>
  </si>
  <si>
    <t>Вафлі</t>
  </si>
  <si>
    <t>Соки</t>
  </si>
  <si>
    <t>Машина сушильна Самсунг</t>
  </si>
  <si>
    <t>Крісло мішок</t>
  </si>
  <si>
    <t>Дошка для просування</t>
  </si>
  <si>
    <t>Миючий засіб для підлогі</t>
  </si>
  <si>
    <t>Рукавички універсальні</t>
  </si>
  <si>
    <t>Пральний порошок (10кг.)</t>
  </si>
  <si>
    <t>Термопот для гарячих напоїв</t>
  </si>
  <si>
    <t>Складне ліжко з матрацем</t>
  </si>
  <si>
    <t>Сітьовий подовжувач</t>
  </si>
  <si>
    <t>Одноразовий посуд на 6 персон</t>
  </si>
  <si>
    <t>Свічки 5 од/уп</t>
  </si>
  <si>
    <t>Сік фруктовий</t>
  </si>
  <si>
    <t xml:space="preserve">Солодощі </t>
  </si>
  <si>
    <t>Шпаклівка старт</t>
  </si>
  <si>
    <t>Водоімульсіонка</t>
  </si>
  <si>
    <t>Емаль</t>
  </si>
  <si>
    <t>Розчинник</t>
  </si>
  <si>
    <t>ЛЕД світильник</t>
  </si>
  <si>
    <t>Терка</t>
  </si>
  <si>
    <t>Сітка абразівна</t>
  </si>
  <si>
    <t>Перфокут</t>
  </si>
  <si>
    <t>Печиво різноманітне</t>
  </si>
  <si>
    <t>шт/кг</t>
  </si>
  <si>
    <t>б</t>
  </si>
  <si>
    <t>Свчкі 5 од/уп</t>
  </si>
  <si>
    <t>Ліхтарики</t>
  </si>
  <si>
    <t>Мило</t>
  </si>
  <si>
    <t>Засіб для миття підлоги</t>
  </si>
  <si>
    <t>Дитячий магнітний мольберт</t>
  </si>
  <si>
    <t>пак</t>
  </si>
  <si>
    <t xml:space="preserve">Цукор </t>
  </si>
  <si>
    <t>Ємкість для води на 750 л</t>
  </si>
  <si>
    <t>Цукор в стіках</t>
  </si>
  <si>
    <t>Продути швидкого харчування</t>
  </si>
  <si>
    <t>Машина пральна Самсунг</t>
  </si>
  <si>
    <t>Вогнегасник</t>
  </si>
  <si>
    <t>Модульний дитячий килимок-пазли</t>
  </si>
  <si>
    <t>Дитячий сухий басейн</t>
  </si>
  <si>
    <t>Ноутбук НР</t>
  </si>
  <si>
    <t>Папір офісний</t>
  </si>
  <si>
    <t xml:space="preserve">Ліхтар </t>
  </si>
  <si>
    <t>Ємність для води 750л.</t>
  </si>
  <si>
    <t>Обігрівач з комплектуючими</t>
  </si>
  <si>
    <t>Фільтри Для води</t>
  </si>
  <si>
    <t>Благодійні внески за квітень 2023 рік.</t>
  </si>
  <si>
    <t>Генератор Disel Power</t>
  </si>
  <si>
    <t>Вода</t>
  </si>
  <si>
    <t>Обігрівач електричний</t>
  </si>
  <si>
    <t>Перегородка кімнатна</t>
  </si>
  <si>
    <t>Набір для дитячої кімнати</t>
  </si>
  <si>
    <t>Пральна машина</t>
  </si>
  <si>
    <t>Електричний подовжувач</t>
  </si>
  <si>
    <t>WiFi роутер</t>
  </si>
  <si>
    <t>Бактерицидний рециркулятор</t>
  </si>
  <si>
    <t>Обігрівач для кімнати</t>
  </si>
  <si>
    <t>Універсальний засіб</t>
  </si>
  <si>
    <t>Рукавички латексні</t>
  </si>
  <si>
    <t>Рукавиці нітрилові</t>
  </si>
  <si>
    <t>Миючий засіб для підлоги</t>
  </si>
  <si>
    <t>Губка кухонна</t>
  </si>
  <si>
    <t>Засіб для чищення</t>
  </si>
  <si>
    <t>Миючий засіб для сантехніки</t>
  </si>
  <si>
    <t>Білизна</t>
  </si>
  <si>
    <t>Підгузники</t>
  </si>
  <si>
    <t>Ганчирка для підлоги</t>
  </si>
  <si>
    <t>Серветки для прибирання</t>
  </si>
  <si>
    <t>Шкребок кухонний</t>
  </si>
  <si>
    <t>Мультиварка</t>
  </si>
  <si>
    <t>Чайник пластиковий</t>
  </si>
  <si>
    <t>Праска</t>
  </si>
  <si>
    <t>Каркаси для сушки білизни</t>
  </si>
  <si>
    <t>Ключ трубний</t>
  </si>
  <si>
    <t>Драбина універсальна</t>
  </si>
  <si>
    <t>Шліф машина кутова болгарка</t>
  </si>
  <si>
    <t>Перфоратор</t>
  </si>
  <si>
    <t>Мережевий подовжувач</t>
  </si>
  <si>
    <t>Подовжувач на катушці</t>
  </si>
  <si>
    <t>Набір інструментів в сумці</t>
  </si>
  <si>
    <t>Грязезахист на вхід Гумове</t>
  </si>
  <si>
    <t>Порохотяг</t>
  </si>
  <si>
    <t>Акумуляторний шурупокрут</t>
  </si>
  <si>
    <t>Мультиметр цифровий</t>
  </si>
  <si>
    <t>Складні стільці</t>
  </si>
  <si>
    <t>БФП ксерокс</t>
  </si>
  <si>
    <t>Флеш накопичувач</t>
  </si>
  <si>
    <t>Шафа для одягу</t>
  </si>
  <si>
    <t>Рукавиці робочі</t>
  </si>
  <si>
    <t>Папір офісний 5 шт</t>
  </si>
  <si>
    <t>Акт пр-пер</t>
  </si>
  <si>
    <t>Договір прямі постаки</t>
  </si>
  <si>
    <t>Генератор Gucbir GJB-9500-E</t>
  </si>
  <si>
    <t xml:space="preserve"> Планшет Lenovo M10</t>
  </si>
  <si>
    <t xml:space="preserve"> Хромбук Samsung Galaxy Chromebook</t>
  </si>
  <si>
    <t>Праска для сушки білизни</t>
  </si>
  <si>
    <t>Сетьовий подовжувач</t>
  </si>
  <si>
    <t>Поверхня електрична 4 комф</t>
  </si>
  <si>
    <t>Засіб для чищення сантехніки</t>
  </si>
  <si>
    <t xml:space="preserve">Засіб для чищення </t>
  </si>
  <si>
    <t>Засіб для посуду</t>
  </si>
  <si>
    <t>Рукавички нітрілові</t>
  </si>
  <si>
    <t>Підгузники дитячі</t>
  </si>
  <si>
    <t>Разом за квітень по КЗШ:</t>
  </si>
  <si>
    <t>КГ №17</t>
  </si>
  <si>
    <t>Благодійні внески за травень 2023 рік.</t>
  </si>
  <si>
    <t>Інституційний гігієнічний набір для шкіл (тип S на 50 осіб, 3 місяці)</t>
  </si>
  <si>
    <t>КГ №51</t>
  </si>
  <si>
    <t>Полиця з нержавіючого металу</t>
  </si>
  <si>
    <t>Умивальник зварний</t>
  </si>
  <si>
    <t>Стіл виробничий</t>
  </si>
  <si>
    <t>Вішалка підлогова</t>
  </si>
  <si>
    <t>Промислова м’ясорубка</t>
  </si>
  <si>
    <t>Мотокоса</t>
  </si>
  <si>
    <t>Вікно пластикове глухе</t>
  </si>
  <si>
    <t>Тример електричний</t>
  </si>
  <si>
    <t>Мотокоса бензинова</t>
  </si>
  <si>
    <t>Благодійні внески за червень 2023 рік.</t>
  </si>
  <si>
    <t>Проектор з кабелем</t>
  </si>
  <si>
    <t>БФП з кабелем</t>
  </si>
  <si>
    <t>Проекційний екран</t>
  </si>
  <si>
    <t>Ноутбук</t>
  </si>
  <si>
    <t>Вода питна</t>
  </si>
  <si>
    <t>Набір гігієнічний</t>
  </si>
  <si>
    <t>Водонагрівач електричний 100л</t>
  </si>
  <si>
    <t>Водяний фільтр</t>
  </si>
  <si>
    <t>Будівельні товари (штукатурка,шпаклівка,фарба,вапно,сітка,шпатель тощо)</t>
  </si>
  <si>
    <t>Бензокоса</t>
  </si>
  <si>
    <t xml:space="preserve"> Господарські товари</t>
  </si>
  <si>
    <t>шт,кг,уп</t>
  </si>
  <si>
    <t>Стіл</t>
  </si>
  <si>
    <t>Крісло поворотне</t>
  </si>
  <si>
    <t>КПШ 240</t>
  </si>
  <si>
    <t>Разом за  липень по КЗШ:</t>
  </si>
  <si>
    <t>Вода питна негазована</t>
  </si>
  <si>
    <t>Листівка А-4</t>
  </si>
  <si>
    <t>Листівка А-5</t>
  </si>
  <si>
    <t>Шпаклівка</t>
  </si>
  <si>
    <t>Водоемульсійна фарба</t>
  </si>
  <si>
    <t>Сітка затірочна</t>
  </si>
  <si>
    <t>т</t>
  </si>
  <si>
    <t>Вікно металопластиколве</t>
  </si>
  <si>
    <t>Макловиця</t>
  </si>
  <si>
    <t>К-т рукавичок</t>
  </si>
  <si>
    <t>Вапно</t>
  </si>
  <si>
    <t>пак.</t>
  </si>
  <si>
    <t>Телевізор JVC CT-50</t>
  </si>
  <si>
    <t>Благодійні внески за ЛИПЕНЬ  2023 рік.</t>
  </si>
  <si>
    <t>Благодійні внески за СЕРПЕНЬ  2023 рік.</t>
  </si>
  <si>
    <t>Граблі віялові</t>
  </si>
  <si>
    <t>Тачка одноколісна</t>
  </si>
  <si>
    <t>Совкова лопата</t>
  </si>
  <si>
    <t>Сокира-колун</t>
  </si>
  <si>
    <t>Пила по дереву</t>
  </si>
  <si>
    <t>Мітла</t>
  </si>
  <si>
    <t>Ножиці садові</t>
  </si>
  <si>
    <t>Сікатор</t>
  </si>
  <si>
    <t>Рукавички</t>
  </si>
  <si>
    <t>Лопата штикова з держаком</t>
  </si>
  <si>
    <t>Вода питна негазована (18,9л.)</t>
  </si>
  <si>
    <t>Листівки А-4</t>
  </si>
  <si>
    <t>Листівки А-5</t>
  </si>
  <si>
    <t>Меблева стінка+ тумба</t>
  </si>
  <si>
    <t>Телевізор Лібертон</t>
  </si>
  <si>
    <t>Шпатлівка фініш,25кг</t>
  </si>
  <si>
    <t>Цемент,25кг</t>
  </si>
  <si>
    <t>Грунтовка,1л</t>
  </si>
  <si>
    <t>Крейда клейова,1кг</t>
  </si>
  <si>
    <t>Вапно гашене,2кг</t>
  </si>
  <si>
    <t>л.</t>
  </si>
  <si>
    <t>Ковдра б/в</t>
  </si>
  <si>
    <t>Подушка б/в</t>
  </si>
  <si>
    <t>Простирадло б/в</t>
  </si>
  <si>
    <t>Наволочка б/в</t>
  </si>
  <si>
    <t>рушник б/в</t>
  </si>
  <si>
    <t>Разом за  серпень по КЗШ:</t>
  </si>
  <si>
    <t>Лампа сонячної батареї</t>
  </si>
  <si>
    <t>Благодійні внески за ВЕРЕСЕНЬ 2023 рік.</t>
  </si>
  <si>
    <t xml:space="preserve">Вода питна </t>
  </si>
  <si>
    <t>Цемент ШПЦ</t>
  </si>
  <si>
    <t>Щебень</t>
  </si>
  <si>
    <t>Відсів</t>
  </si>
  <si>
    <t>Фарба фасадна</t>
  </si>
  <si>
    <t>Клей для керамограніту</t>
  </si>
  <si>
    <t>Грунт</t>
  </si>
  <si>
    <t>Колор</t>
  </si>
  <si>
    <t>Фарба для підлоги</t>
  </si>
  <si>
    <t>Самовирівнювач</t>
  </si>
  <si>
    <t>Піна</t>
  </si>
  <si>
    <t>Сольвент-розчинник</t>
  </si>
  <si>
    <t>мастило для генератора</t>
  </si>
  <si>
    <t>л,</t>
  </si>
  <si>
    <t>Пістолет для піни</t>
  </si>
  <si>
    <t>Валік велюровий</t>
  </si>
  <si>
    <t>Склоріз</t>
  </si>
  <si>
    <t>Круг відрізний</t>
  </si>
  <si>
    <t>фільтр для очищення води</t>
  </si>
  <si>
    <t>Тормозна ділянка для принтера</t>
  </si>
  <si>
    <t>Фотобарабан для принтера</t>
  </si>
  <si>
    <t>Фарба для принтера</t>
  </si>
  <si>
    <t>Блок живлення для принтера</t>
  </si>
  <si>
    <t>Файли</t>
  </si>
  <si>
    <t>Картртджне волокно для принтера</t>
  </si>
  <si>
    <t>Ролик захвату для принтера</t>
  </si>
  <si>
    <t>Ліска для тримера</t>
  </si>
  <si>
    <t>Мітла з держаком</t>
  </si>
  <si>
    <t>Зарядка для телефону</t>
  </si>
  <si>
    <t>Прим.комп.прог.MICROSOFT</t>
  </si>
  <si>
    <t>Монітор</t>
  </si>
  <si>
    <t>Проектор</t>
  </si>
  <si>
    <t>Миша</t>
  </si>
  <si>
    <t>Екран</t>
  </si>
  <si>
    <t>Презентер</t>
  </si>
  <si>
    <t>Клавіатура</t>
  </si>
  <si>
    <t>Колонки</t>
  </si>
  <si>
    <t>Фільтр мережевий</t>
  </si>
  <si>
    <t>БФП</t>
  </si>
  <si>
    <t>Пачкорд</t>
  </si>
  <si>
    <t>Комп’ютер</t>
  </si>
  <si>
    <t xml:space="preserve">Гарнітура </t>
  </si>
  <si>
    <t xml:space="preserve"> Роутер</t>
  </si>
  <si>
    <t>Ноутбук вживний НР</t>
  </si>
  <si>
    <t>Ноутбук вживний DELL</t>
  </si>
  <si>
    <t>Індивідуальний набір для вчителя</t>
  </si>
  <si>
    <t>Дошка</t>
  </si>
  <si>
    <t>Фанера</t>
  </si>
  <si>
    <t>Газонокасарка електрична</t>
  </si>
  <si>
    <t>Комплект речей першої необхідності</t>
  </si>
  <si>
    <t>Благодійні внески за ЖОВТЕНЬ 2023 рік.</t>
  </si>
  <si>
    <t>Питна вода</t>
  </si>
  <si>
    <t xml:space="preserve">Памперси дитячі </t>
  </si>
  <si>
    <t>ОСБ</t>
  </si>
  <si>
    <t>Брезент</t>
  </si>
  <si>
    <t>Рюкзак із канц наборами</t>
  </si>
  <si>
    <t xml:space="preserve">Монітор </t>
  </si>
  <si>
    <t>Екран настінний</t>
  </si>
  <si>
    <t>Гарнітура</t>
  </si>
  <si>
    <t>Роутер бездротовий</t>
  </si>
  <si>
    <t>Патчкорд</t>
  </si>
  <si>
    <t>Програмне забезпечення</t>
  </si>
  <si>
    <t>Госп. Товари</t>
  </si>
  <si>
    <t>Вхідні двері</t>
  </si>
  <si>
    <t>Масло для бензокасарки</t>
  </si>
  <si>
    <t>Моторне мастило</t>
  </si>
  <si>
    <t xml:space="preserve">Масло </t>
  </si>
  <si>
    <t>КПШ № 240</t>
  </si>
  <si>
    <t>Аптечка класу А</t>
  </si>
  <si>
    <t>Разом за  жовтень по КЗШ:</t>
  </si>
  <si>
    <t>Генератор дизельний KRAFTWELE SDG16000S 3F</t>
  </si>
  <si>
    <t>Масло для двотактних двигунів</t>
  </si>
  <si>
    <t>Моторна олія для тримера</t>
  </si>
  <si>
    <t>Олія для газонокосарки</t>
  </si>
  <si>
    <t>Полички меблеві</t>
  </si>
  <si>
    <t>Килимок м’який</t>
  </si>
  <si>
    <t>Дитячий килимок</t>
  </si>
  <si>
    <t>Олива моторна</t>
  </si>
  <si>
    <t>Газонокасарка б/в</t>
  </si>
  <si>
    <t>Олива для бензотримера</t>
  </si>
  <si>
    <t>Пензлики для фарбування</t>
  </si>
  <si>
    <t>Валик для фарбування</t>
  </si>
  <si>
    <t>Ветошь</t>
  </si>
  <si>
    <t>Садженці туї</t>
  </si>
  <si>
    <t>Садженці ялинки</t>
  </si>
  <si>
    <t>Складний контейнер для води</t>
  </si>
  <si>
    <t>Сімейний набір</t>
  </si>
  <si>
    <t>Таблетки для очищення води</t>
  </si>
  <si>
    <t>Гігієнічні засоби белла ультра</t>
  </si>
  <si>
    <t>Український гігієнічний набір</t>
  </si>
  <si>
    <t>Підгузки БЕЛЛА</t>
  </si>
  <si>
    <t>Дитячий набір для подорожей</t>
  </si>
  <si>
    <t>Павербанк 45W</t>
  </si>
  <si>
    <t>Фільтр для питної води</t>
  </si>
  <si>
    <t>н</t>
  </si>
  <si>
    <t>Благодійні внески за ЛИСТОПАД 2023 рік.</t>
  </si>
  <si>
    <t>Вікно металопластикове</t>
  </si>
  <si>
    <t>Кран кульовий</t>
  </si>
  <si>
    <t>Поліпропіленові труби</t>
  </si>
  <si>
    <t>Коліно</t>
  </si>
  <si>
    <t>м.п.</t>
  </si>
  <si>
    <t>Муфта</t>
  </si>
  <si>
    <t>Трійник</t>
  </si>
  <si>
    <t>Умивальник підвісний</t>
  </si>
  <si>
    <t>Змішувач</t>
  </si>
  <si>
    <t>Кріплення для умивальника</t>
  </si>
  <si>
    <t>Унітаз компакт</t>
  </si>
  <si>
    <t>Кріплення для унітазу</t>
  </si>
  <si>
    <t>Герметік</t>
  </si>
  <si>
    <t>Сифон для умивальника</t>
  </si>
  <si>
    <t>Труба каналізаційна</t>
  </si>
  <si>
    <t>Коліно каналізаційне</t>
  </si>
  <si>
    <t>Гофра для випуску унітаза</t>
  </si>
  <si>
    <t>Штукатурна цементна суміш</t>
  </si>
  <si>
    <t>Штукатурний маяк</t>
  </si>
  <si>
    <t>Стяжка для підлоги</t>
  </si>
  <si>
    <t>Гідроізоляція підлоги</t>
  </si>
  <si>
    <t>Клеюча суміш</t>
  </si>
  <si>
    <t>Плитка керамічна</t>
  </si>
  <si>
    <t>Хрестики для плитки</t>
  </si>
  <si>
    <t>Клин дистанційний</t>
  </si>
  <si>
    <t>Фарба акрилова</t>
  </si>
  <si>
    <t>Фуга біла</t>
  </si>
  <si>
    <t>Фуга сіра</t>
  </si>
  <si>
    <t>Шпаклівка універсальна</t>
  </si>
  <si>
    <t>Гіпсокартон</t>
  </si>
  <si>
    <t>Профіль</t>
  </si>
  <si>
    <t>Дюбелб</t>
  </si>
  <si>
    <t>Саморіз</t>
  </si>
  <si>
    <t>Поручень відкідний</t>
  </si>
  <si>
    <t>Свтильник ЛЕД</t>
  </si>
  <si>
    <t>Емаль алкідна</t>
  </si>
  <si>
    <t>Блоки дверні</t>
  </si>
  <si>
    <t>Піна монтажна</t>
  </si>
  <si>
    <t>Петлі накладні</t>
  </si>
  <si>
    <t>Лиштва МДФ</t>
  </si>
  <si>
    <t>Замок врізний</t>
  </si>
  <si>
    <t>Радіатор біметалевий</t>
  </si>
  <si>
    <t>Комплект футорок радіатора</t>
  </si>
  <si>
    <t>Сантехнічні перегородки</t>
  </si>
  <si>
    <t>м.кв.</t>
  </si>
  <si>
    <t>кв.м.</t>
  </si>
  <si>
    <t>набор</t>
  </si>
  <si>
    <t>Пральний порошок</t>
  </si>
  <si>
    <t>Антибактеріальне мило для рук 5л</t>
  </si>
  <si>
    <t>Засіб універсальний для підлоги 5л</t>
  </si>
  <si>
    <t>рукавички латексні</t>
  </si>
  <si>
    <t>засіб для миття посуду</t>
  </si>
  <si>
    <t>Антибактеріальний засіб для миття підлоги</t>
  </si>
  <si>
    <t>Сухий порошок для чищення</t>
  </si>
  <si>
    <t>Засіб для чищення сантехніки 5л</t>
  </si>
  <si>
    <t>Рідкий відбілювач 5л</t>
  </si>
  <si>
    <t>Ганчірка для підлоги</t>
  </si>
  <si>
    <t>Господарче мило</t>
  </si>
  <si>
    <t>Гель для чищення труб</t>
  </si>
  <si>
    <t>Набір для прибирання совок+щітка</t>
  </si>
  <si>
    <t>Засіб для видалення плісняви</t>
  </si>
  <si>
    <t>Вода питна негазована (18,9л)</t>
  </si>
  <si>
    <t>Лава АЛІСА</t>
  </si>
  <si>
    <t>Масло Vitas 1k</t>
  </si>
  <si>
    <t>Пензлики</t>
  </si>
  <si>
    <t>Хліборізальтна машина</t>
  </si>
  <si>
    <t>Анкер гільзовий</t>
  </si>
  <si>
    <t>Благодійні внески за ГРУДЕНЬ 2023 рік.</t>
  </si>
  <si>
    <t>Навушники</t>
  </si>
  <si>
    <t>Комп’ютерна миша</t>
  </si>
  <si>
    <t>Сумка для ноутбукв</t>
  </si>
  <si>
    <t>Вода мінеральна Натуральна 1,5л</t>
  </si>
  <si>
    <t>Мило тверде</t>
  </si>
  <si>
    <t>Порошок для прання</t>
  </si>
  <si>
    <t>Рідина для миття посуду</t>
  </si>
  <si>
    <t>Щітка для унітазу</t>
  </si>
  <si>
    <t>Пакет для сміття</t>
  </si>
  <si>
    <t>Відро пластикове</t>
  </si>
  <si>
    <t>Швабра д/підлоги</t>
  </si>
  <si>
    <t>Чистячий засіб універсальниц</t>
  </si>
  <si>
    <t>Рукавички гумові</t>
  </si>
  <si>
    <t>Дезинфікуючий засіб для рук</t>
  </si>
  <si>
    <t>Маска захісна</t>
  </si>
  <si>
    <t>Дитячі підгузники</t>
  </si>
  <si>
    <t>Подушка меблева</t>
  </si>
  <si>
    <t>Ковдра одинарна</t>
  </si>
  <si>
    <t>Сонячна лампа</t>
  </si>
  <si>
    <t xml:space="preserve">Ковдра подвійна </t>
  </si>
  <si>
    <t>Плед вовняний</t>
  </si>
  <si>
    <t>Меморіальна дошка</t>
  </si>
  <si>
    <t>Разом за  грудень по КЗШ:</t>
  </si>
  <si>
    <t>Разом за  листопад по КЗШ:</t>
  </si>
  <si>
    <t>Разом за червень по КЗШ:</t>
  </si>
  <si>
    <t>Разом за березень по КЗШ:</t>
  </si>
  <si>
    <t>Разом за січень по КЗШ: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</si>
</sst>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1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20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4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1" xfId="0" applyNumberFormat="1" applyFont="1" applyFill="1" applyBorder="1" applyAlignment="1">
      <alignment horizontal="center"/>
    </xf>
    <xf numFmtId="4" fontId="4" fillId="2" borderId="1" xfId="0" applyNumberFormat="1" applyFont="1" applyFill="1" applyBorder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1" xfId="0" applyNumberFormat="1" applyFont="1" applyFill="1" applyBorder="1" applyAlignment="1">
      <alignment horizontal="center"/>
    </xf>
    <xf numFmtId="0" fontId="4" fillId="3" borderId="0" xfId="0" applyFont="1" applyFill="1"/>
    <xf numFmtId="0" fontId="4" fillId="5" borderId="1" xfId="0" applyFont="1" applyFill="1" applyBorder="1"/>
    <xf numFmtId="0" fontId="4" fillId="5" borderId="1" xfId="0" applyFont="1" applyFill="1" applyBorder="1" applyAlignment="1">
      <alignment horizontal="center"/>
    </xf>
    <xf numFmtId="0" fontId="4" fillId="5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49" fontId="4" fillId="0" borderId="1" xfId="0" applyNumberFormat="1" applyFont="1" applyBorder="1"/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6" borderId="1" xfId="0" applyNumberFormat="1" applyFont="1" applyFill="1" applyBorder="1" applyAlignment="1">
      <alignment horizontal="center" vertical="center"/>
    </xf>
    <xf numFmtId="4" fontId="6" fillId="6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4" fontId="4" fillId="0" borderId="1" xfId="0" applyNumberFormat="1" applyFont="1" applyBorder="1" applyAlignment="1">
      <alignment horizontal="right"/>
    </xf>
    <xf numFmtId="4" fontId="7" fillId="3" borderId="1" xfId="0" applyNumberFormat="1" applyFont="1" applyFill="1" applyBorder="1" applyAlignment="1">
      <alignment horizontal="right" vertical="center"/>
    </xf>
    <xf numFmtId="0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>
      <alignment horizontal="center" vertical="center"/>
    </xf>
    <xf numFmtId="4" fontId="8" fillId="5" borderId="1" xfId="0" applyNumberFormat="1" applyFont="1" applyFill="1" applyBorder="1" applyAlignment="1">
      <alignment horizontal="center" vertical="center"/>
    </xf>
    <xf numFmtId="0" fontId="4" fillId="5" borderId="1" xfId="0" applyNumberFormat="1" applyFont="1" applyFill="1" applyBorder="1" applyAlignment="1">
      <alignment horizontal="center" vertical="center"/>
    </xf>
    <xf numFmtId="4" fontId="4" fillId="5" borderId="1" xfId="0" applyNumberFormat="1" applyFont="1" applyFill="1" applyBorder="1" applyAlignment="1">
      <alignment horizontal="center" vertical="center"/>
    </xf>
    <xf numFmtId="4" fontId="4" fillId="4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/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/>
    <xf numFmtId="49" fontId="4" fillId="0" borderId="1" xfId="0" applyNumberFormat="1" applyFont="1" applyBorder="1" applyAlignment="1">
      <alignment horizontal="left" vertical="center"/>
    </xf>
    <xf numFmtId="4" fontId="4" fillId="0" borderId="1" xfId="0" applyNumberFormat="1" applyFont="1" applyBorder="1" applyAlignment="1">
      <alignment horizontal="right" vertical="center"/>
    </xf>
    <xf numFmtId="49" fontId="4" fillId="3" borderId="1" xfId="0" applyNumberFormat="1" applyFont="1" applyFill="1" applyBorder="1" applyAlignment="1">
      <alignment horizontal="left"/>
    </xf>
    <xf numFmtId="4" fontId="4" fillId="3" borderId="1" xfId="0" applyNumberFormat="1" applyFont="1" applyFill="1" applyBorder="1" applyAlignment="1">
      <alignment horizontal="right"/>
    </xf>
    <xf numFmtId="4" fontId="4" fillId="2" borderId="1" xfId="0" applyNumberFormat="1" applyFont="1" applyFill="1" applyBorder="1" applyAlignment="1">
      <alignment horizontal="right"/>
    </xf>
    <xf numFmtId="4" fontId="4" fillId="5" borderId="1" xfId="0" applyNumberFormat="1" applyFont="1" applyFill="1" applyBorder="1" applyAlignment="1">
      <alignment horizontal="right"/>
    </xf>
    <xf numFmtId="4" fontId="4" fillId="0" borderId="0" xfId="0" applyNumberFormat="1" applyFont="1" applyAlignment="1">
      <alignment horizontal="right"/>
    </xf>
    <xf numFmtId="0" fontId="4" fillId="0" borderId="4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0" fillId="6" borderId="1" xfId="0" applyNumberForma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NumberForma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4" fontId="7" fillId="3" borderId="1" xfId="0" applyNumberFormat="1" applyFont="1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6" borderId="1" xfId="0" applyFill="1" applyBorder="1" applyAlignment="1">
      <alignment horizontal="center" vertical="center"/>
    </xf>
    <xf numFmtId="4" fontId="0" fillId="6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4" fontId="0" fillId="3" borderId="1" xfId="0" applyNumberForma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4" fontId="0" fillId="5" borderId="1" xfId="0" applyNumberFormat="1" applyFill="1" applyBorder="1" applyAlignment="1">
      <alignment horizontal="center" vertical="center"/>
    </xf>
    <xf numFmtId="4" fontId="0" fillId="4" borderId="1" xfId="0" applyNumberForma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7"/>
  <sheetViews>
    <sheetView view="pageBreakPreview" zoomScaleSheetLayoutView="100" workbookViewId="0">
      <selection sqref="A1:G1"/>
    </sheetView>
  </sheetViews>
  <sheetFormatPr defaultRowHeight="15" x14ac:dyDescent="0.25"/>
  <cols>
    <col min="1" max="1" width="3.85546875" style="131" customWidth="1"/>
    <col min="2" max="2" width="29.42578125" style="131" customWidth="1"/>
    <col min="3" max="3" width="32.140625" style="133" customWidth="1"/>
    <col min="4" max="4" width="9.140625" style="131" customWidth="1"/>
    <col min="5" max="5" width="9.140625" style="132" customWidth="1"/>
    <col min="6" max="6" width="14.7109375" style="151" customWidth="1"/>
    <col min="7" max="7" width="13.85546875" style="151" customWidth="1"/>
    <col min="8" max="16384" width="9.140625" style="131"/>
  </cols>
  <sheetData>
    <row r="1" spans="1:7" ht="18.75" x14ac:dyDescent="0.25">
      <c r="A1" s="119" t="s">
        <v>98</v>
      </c>
      <c r="B1" s="119"/>
      <c r="C1" s="119"/>
      <c r="D1" s="119"/>
      <c r="E1" s="119"/>
      <c r="F1" s="119"/>
      <c r="G1" s="119"/>
    </row>
    <row r="2" spans="1:7" ht="45" x14ac:dyDescent="0.25">
      <c r="A2" s="120" t="s">
        <v>0</v>
      </c>
      <c r="B2" s="141" t="s">
        <v>1</v>
      </c>
      <c r="C2" s="134" t="s">
        <v>2</v>
      </c>
      <c r="D2" s="141" t="s">
        <v>3</v>
      </c>
      <c r="E2" s="121" t="s">
        <v>4</v>
      </c>
      <c r="F2" s="142" t="s">
        <v>5</v>
      </c>
      <c r="G2" s="142" t="s">
        <v>6</v>
      </c>
    </row>
    <row r="3" spans="1:7" x14ac:dyDescent="0.25">
      <c r="A3" s="67">
        <v>1</v>
      </c>
      <c r="B3" s="70" t="s">
        <v>55</v>
      </c>
      <c r="C3" s="135" t="s">
        <v>99</v>
      </c>
      <c r="D3" s="143" t="s">
        <v>7</v>
      </c>
      <c r="E3" s="122">
        <v>1</v>
      </c>
      <c r="F3" s="144">
        <f>1169.22</f>
        <v>1169.22</v>
      </c>
      <c r="G3" s="144">
        <f>E3*F3</f>
        <v>1169.22</v>
      </c>
    </row>
    <row r="4" spans="1:7" x14ac:dyDescent="0.25">
      <c r="A4" s="68"/>
      <c r="B4" s="71"/>
      <c r="C4" s="135" t="s">
        <v>100</v>
      </c>
      <c r="D4" s="143" t="s">
        <v>7</v>
      </c>
      <c r="E4" s="122">
        <v>1</v>
      </c>
      <c r="F4" s="144">
        <f>623.22</f>
        <v>623.22</v>
      </c>
      <c r="G4" s="144">
        <f t="shared" ref="G4:G28" si="0">E4*F4</f>
        <v>623.22</v>
      </c>
    </row>
    <row r="5" spans="1:7" x14ac:dyDescent="0.25">
      <c r="A5" s="68"/>
      <c r="B5" s="71"/>
      <c r="C5" s="135" t="s">
        <v>101</v>
      </c>
      <c r="D5" s="143" t="s">
        <v>7</v>
      </c>
      <c r="E5" s="122">
        <v>1</v>
      </c>
      <c r="F5" s="144">
        <f>1091.22</f>
        <v>1091.22</v>
      </c>
      <c r="G5" s="144">
        <f t="shared" si="0"/>
        <v>1091.22</v>
      </c>
    </row>
    <row r="6" spans="1:7" x14ac:dyDescent="0.25">
      <c r="A6" s="68"/>
      <c r="B6" s="71"/>
      <c r="C6" s="135" t="s">
        <v>102</v>
      </c>
      <c r="D6" s="143" t="s">
        <v>7</v>
      </c>
      <c r="E6" s="122">
        <v>26</v>
      </c>
      <c r="F6" s="144">
        <f>77.22</f>
        <v>77.22</v>
      </c>
      <c r="G6" s="144">
        <f t="shared" si="0"/>
        <v>2007.72</v>
      </c>
    </row>
    <row r="7" spans="1:7" x14ac:dyDescent="0.25">
      <c r="A7" s="68"/>
      <c r="B7" s="71"/>
      <c r="C7" s="135" t="s">
        <v>103</v>
      </c>
      <c r="D7" s="143" t="s">
        <v>7</v>
      </c>
      <c r="E7" s="122">
        <v>20</v>
      </c>
      <c r="F7" s="144">
        <f>155.22</f>
        <v>155.22</v>
      </c>
      <c r="G7" s="144">
        <f t="shared" si="0"/>
        <v>3104.4</v>
      </c>
    </row>
    <row r="8" spans="1:7" x14ac:dyDescent="0.25">
      <c r="A8" s="68"/>
      <c r="B8" s="71"/>
      <c r="C8" s="135" t="s">
        <v>104</v>
      </c>
      <c r="D8" s="143" t="s">
        <v>7</v>
      </c>
      <c r="E8" s="122">
        <v>20</v>
      </c>
      <c r="F8" s="144">
        <f>233.22</f>
        <v>233.22</v>
      </c>
      <c r="G8" s="144">
        <f t="shared" si="0"/>
        <v>4664.3999999999996</v>
      </c>
    </row>
    <row r="9" spans="1:7" x14ac:dyDescent="0.25">
      <c r="A9" s="68"/>
      <c r="B9" s="71"/>
      <c r="C9" s="135" t="s">
        <v>105</v>
      </c>
      <c r="D9" s="143" t="s">
        <v>7</v>
      </c>
      <c r="E9" s="122">
        <v>20</v>
      </c>
      <c r="F9" s="144">
        <f>69.42</f>
        <v>69.42</v>
      </c>
      <c r="G9" s="144">
        <f t="shared" si="0"/>
        <v>1388.4</v>
      </c>
    </row>
    <row r="10" spans="1:7" x14ac:dyDescent="0.25">
      <c r="A10" s="68"/>
      <c r="B10" s="71"/>
      <c r="C10" s="135" t="s">
        <v>106</v>
      </c>
      <c r="D10" s="143" t="s">
        <v>7</v>
      </c>
      <c r="E10" s="122">
        <v>20</v>
      </c>
      <c r="F10" s="144">
        <f>623.22</f>
        <v>623.22</v>
      </c>
      <c r="G10" s="144">
        <f t="shared" si="0"/>
        <v>12464.400000000001</v>
      </c>
    </row>
    <row r="11" spans="1:7" x14ac:dyDescent="0.25">
      <c r="A11" s="68"/>
      <c r="B11" s="71"/>
      <c r="C11" s="135" t="s">
        <v>107</v>
      </c>
      <c r="D11" s="143" t="s">
        <v>7</v>
      </c>
      <c r="E11" s="122">
        <v>20</v>
      </c>
      <c r="F11" s="144">
        <f>350.22</f>
        <v>350.22</v>
      </c>
      <c r="G11" s="144">
        <f t="shared" si="0"/>
        <v>7004.4000000000005</v>
      </c>
    </row>
    <row r="12" spans="1:7" x14ac:dyDescent="0.25">
      <c r="A12" s="68"/>
      <c r="B12" s="71"/>
      <c r="C12" s="135" t="s">
        <v>108</v>
      </c>
      <c r="D12" s="143" t="s">
        <v>7</v>
      </c>
      <c r="E12" s="122">
        <f>158+158</f>
        <v>316</v>
      </c>
      <c r="F12" s="144">
        <f>33.25</f>
        <v>33.25</v>
      </c>
      <c r="G12" s="144">
        <f t="shared" si="0"/>
        <v>10507</v>
      </c>
    </row>
    <row r="13" spans="1:7" x14ac:dyDescent="0.25">
      <c r="A13" s="68"/>
      <c r="B13" s="71"/>
      <c r="C13" s="135" t="s">
        <v>109</v>
      </c>
      <c r="D13" s="143" t="s">
        <v>7</v>
      </c>
      <c r="E13" s="122">
        <v>60</v>
      </c>
      <c r="F13" s="144">
        <v>15</v>
      </c>
      <c r="G13" s="144">
        <f t="shared" si="0"/>
        <v>900</v>
      </c>
    </row>
    <row r="14" spans="1:7" x14ac:dyDescent="0.25">
      <c r="A14" s="68"/>
      <c r="B14" s="71"/>
      <c r="C14" s="135" t="s">
        <v>110</v>
      </c>
      <c r="D14" s="143" t="s">
        <v>7</v>
      </c>
      <c r="E14" s="122">
        <v>1</v>
      </c>
      <c r="F14" s="144">
        <v>29</v>
      </c>
      <c r="G14" s="144">
        <f t="shared" si="0"/>
        <v>29</v>
      </c>
    </row>
    <row r="15" spans="1:7" x14ac:dyDescent="0.25">
      <c r="A15" s="68"/>
      <c r="B15" s="71"/>
      <c r="C15" s="135" t="s">
        <v>111</v>
      </c>
      <c r="D15" s="143" t="s">
        <v>7</v>
      </c>
      <c r="E15" s="122">
        <v>2</v>
      </c>
      <c r="F15" s="144">
        <v>129</v>
      </c>
      <c r="G15" s="144">
        <f t="shared" si="0"/>
        <v>258</v>
      </c>
    </row>
    <row r="16" spans="1:7" x14ac:dyDescent="0.25">
      <c r="A16" s="68"/>
      <c r="B16" s="71"/>
      <c r="C16" s="135" t="s">
        <v>112</v>
      </c>
      <c r="D16" s="143" t="s">
        <v>7</v>
      </c>
      <c r="E16" s="122">
        <v>125</v>
      </c>
      <c r="F16" s="144">
        <v>1.5</v>
      </c>
      <c r="G16" s="144">
        <f t="shared" si="0"/>
        <v>187.5</v>
      </c>
    </row>
    <row r="17" spans="1:7" x14ac:dyDescent="0.25">
      <c r="A17" s="68"/>
      <c r="B17" s="71"/>
      <c r="C17" s="135" t="s">
        <v>113</v>
      </c>
      <c r="D17" s="143" t="s">
        <v>7</v>
      </c>
      <c r="E17" s="122">
        <v>40</v>
      </c>
      <c r="F17" s="144">
        <v>2</v>
      </c>
      <c r="G17" s="144">
        <f t="shared" si="0"/>
        <v>80</v>
      </c>
    </row>
    <row r="18" spans="1:7" x14ac:dyDescent="0.25">
      <c r="A18" s="68"/>
      <c r="B18" s="71"/>
      <c r="C18" s="135" t="s">
        <v>114</v>
      </c>
      <c r="D18" s="143" t="s">
        <v>7</v>
      </c>
      <c r="E18" s="122">
        <v>3</v>
      </c>
      <c r="F18" s="144">
        <v>87</v>
      </c>
      <c r="G18" s="144">
        <f t="shared" si="0"/>
        <v>261</v>
      </c>
    </row>
    <row r="19" spans="1:7" x14ac:dyDescent="0.25">
      <c r="A19" s="68"/>
      <c r="B19" s="71"/>
      <c r="C19" s="135" t="s">
        <v>34</v>
      </c>
      <c r="D19" s="143" t="s">
        <v>7</v>
      </c>
      <c r="E19" s="122">
        <v>1</v>
      </c>
      <c r="F19" s="144">
        <v>135</v>
      </c>
      <c r="G19" s="144">
        <f t="shared" si="0"/>
        <v>135</v>
      </c>
    </row>
    <row r="20" spans="1:7" x14ac:dyDescent="0.25">
      <c r="A20" s="68"/>
      <c r="B20" s="71"/>
      <c r="C20" s="135" t="s">
        <v>115</v>
      </c>
      <c r="D20" s="143" t="s">
        <v>7</v>
      </c>
      <c r="E20" s="122">
        <v>7</v>
      </c>
      <c r="F20" s="144">
        <v>2430</v>
      </c>
      <c r="G20" s="144">
        <f t="shared" si="0"/>
        <v>17010</v>
      </c>
    </row>
    <row r="21" spans="1:7" x14ac:dyDescent="0.25">
      <c r="A21" s="68"/>
      <c r="B21" s="71"/>
      <c r="C21" s="135" t="s">
        <v>116</v>
      </c>
      <c r="D21" s="143" t="s">
        <v>7</v>
      </c>
      <c r="E21" s="122">
        <v>2</v>
      </c>
      <c r="F21" s="144">
        <v>3229.2</v>
      </c>
      <c r="G21" s="144">
        <f t="shared" si="0"/>
        <v>6458.4</v>
      </c>
    </row>
    <row r="22" spans="1:7" x14ac:dyDescent="0.25">
      <c r="A22" s="68"/>
      <c r="B22" s="71"/>
      <c r="C22" s="135" t="s">
        <v>117</v>
      </c>
      <c r="D22" s="143" t="s">
        <v>7</v>
      </c>
      <c r="E22" s="122">
        <v>20</v>
      </c>
      <c r="F22" s="144">
        <v>80</v>
      </c>
      <c r="G22" s="144">
        <f t="shared" si="0"/>
        <v>1600</v>
      </c>
    </row>
    <row r="23" spans="1:7" x14ac:dyDescent="0.25">
      <c r="A23" s="68"/>
      <c r="B23" s="71"/>
      <c r="C23" s="135" t="s">
        <v>118</v>
      </c>
      <c r="D23" s="143" t="s">
        <v>7</v>
      </c>
      <c r="E23" s="122">
        <v>10</v>
      </c>
      <c r="F23" s="144">
        <v>334</v>
      </c>
      <c r="G23" s="144">
        <f t="shared" si="0"/>
        <v>3340</v>
      </c>
    </row>
    <row r="24" spans="1:7" x14ac:dyDescent="0.25">
      <c r="A24" s="68"/>
      <c r="B24" s="71"/>
      <c r="C24" s="135" t="s">
        <v>119</v>
      </c>
      <c r="D24" s="143" t="s">
        <v>7</v>
      </c>
      <c r="E24" s="122">
        <v>2</v>
      </c>
      <c r="F24" s="144">
        <v>558</v>
      </c>
      <c r="G24" s="144">
        <f t="shared" si="0"/>
        <v>1116</v>
      </c>
    </row>
    <row r="25" spans="1:7" x14ac:dyDescent="0.25">
      <c r="A25" s="68"/>
      <c r="B25" s="71"/>
      <c r="C25" s="135" t="s">
        <v>120</v>
      </c>
      <c r="D25" s="143" t="s">
        <v>7</v>
      </c>
      <c r="E25" s="122">
        <v>10</v>
      </c>
      <c r="F25" s="144">
        <v>200</v>
      </c>
      <c r="G25" s="144">
        <f t="shared" si="0"/>
        <v>2000</v>
      </c>
    </row>
    <row r="26" spans="1:7" x14ac:dyDescent="0.25">
      <c r="A26" s="68"/>
      <c r="B26" s="71"/>
      <c r="C26" s="135" t="s">
        <v>121</v>
      </c>
      <c r="D26" s="143" t="s">
        <v>7</v>
      </c>
      <c r="E26" s="122">
        <v>500</v>
      </c>
      <c r="F26" s="144">
        <v>2</v>
      </c>
      <c r="G26" s="144">
        <f t="shared" si="0"/>
        <v>1000</v>
      </c>
    </row>
    <row r="27" spans="1:7" x14ac:dyDescent="0.25">
      <c r="A27" s="68"/>
      <c r="B27" s="71"/>
      <c r="C27" s="135" t="s">
        <v>122</v>
      </c>
      <c r="D27" s="143" t="s">
        <v>7</v>
      </c>
      <c r="E27" s="122">
        <v>200</v>
      </c>
      <c r="F27" s="144">
        <v>8</v>
      </c>
      <c r="G27" s="144">
        <f t="shared" si="0"/>
        <v>1600</v>
      </c>
    </row>
    <row r="28" spans="1:7" x14ac:dyDescent="0.25">
      <c r="A28" s="68"/>
      <c r="B28" s="71"/>
      <c r="C28" s="135" t="s">
        <v>12</v>
      </c>
      <c r="D28" s="143" t="s">
        <v>7</v>
      </c>
      <c r="E28" s="122">
        <v>5</v>
      </c>
      <c r="F28" s="144">
        <v>18</v>
      </c>
      <c r="G28" s="144">
        <f t="shared" si="0"/>
        <v>90</v>
      </c>
    </row>
    <row r="29" spans="1:7" x14ac:dyDescent="0.25">
      <c r="A29" s="68"/>
      <c r="B29" s="71"/>
      <c r="C29" s="135" t="s">
        <v>123</v>
      </c>
      <c r="D29" s="143" t="s">
        <v>124</v>
      </c>
      <c r="E29" s="122" t="s">
        <v>125</v>
      </c>
      <c r="F29" s="144">
        <v>31.76</v>
      </c>
      <c r="G29" s="144">
        <f>1082.18+2670.18</f>
        <v>3752.3599999999997</v>
      </c>
    </row>
    <row r="30" spans="1:7" x14ac:dyDescent="0.25">
      <c r="A30" s="69"/>
      <c r="B30" s="72"/>
      <c r="C30" s="135" t="s">
        <v>140</v>
      </c>
      <c r="D30" s="143" t="s">
        <v>7</v>
      </c>
      <c r="E30" s="122">
        <v>2</v>
      </c>
      <c r="F30" s="144">
        <v>9192.75</v>
      </c>
      <c r="G30" s="144">
        <f>E30*F30</f>
        <v>18385.5</v>
      </c>
    </row>
    <row r="31" spans="1:7" x14ac:dyDescent="0.25">
      <c r="A31" s="123"/>
      <c r="B31" s="123"/>
      <c r="C31" s="136" t="s">
        <v>9</v>
      </c>
      <c r="D31" s="123"/>
      <c r="E31" s="124"/>
      <c r="F31" s="145"/>
      <c r="G31" s="145">
        <f>SUM(G3:G30)</f>
        <v>102227.14</v>
      </c>
    </row>
    <row r="32" spans="1:7" hidden="1" x14ac:dyDescent="0.25">
      <c r="A32" s="125"/>
      <c r="B32" s="125" t="s">
        <v>64</v>
      </c>
      <c r="C32" s="135"/>
      <c r="D32" s="143" t="s">
        <v>7</v>
      </c>
      <c r="E32" s="122">
        <v>1</v>
      </c>
      <c r="F32" s="144"/>
      <c r="G32" s="144">
        <f>E32*F32</f>
        <v>0</v>
      </c>
    </row>
    <row r="33" spans="1:7" hidden="1" x14ac:dyDescent="0.25">
      <c r="A33" s="123"/>
      <c r="B33" s="123"/>
      <c r="C33" s="136" t="s">
        <v>9</v>
      </c>
      <c r="D33" s="123"/>
      <c r="E33" s="124"/>
      <c r="F33" s="145"/>
      <c r="G33" s="145">
        <f>SUM(G32)</f>
        <v>0</v>
      </c>
    </row>
    <row r="34" spans="1:7" x14ac:dyDescent="0.25">
      <c r="A34" s="67">
        <v>2</v>
      </c>
      <c r="B34" s="70" t="s">
        <v>22</v>
      </c>
      <c r="C34" s="135" t="s">
        <v>108</v>
      </c>
      <c r="D34" s="143" t="s">
        <v>7</v>
      </c>
      <c r="E34" s="122">
        <f>158+158</f>
        <v>316</v>
      </c>
      <c r="F34" s="144">
        <f>33.25</f>
        <v>33.25</v>
      </c>
      <c r="G34" s="144">
        <f>E34*F34</f>
        <v>10507</v>
      </c>
    </row>
    <row r="35" spans="1:7" x14ac:dyDescent="0.25">
      <c r="A35" s="68"/>
      <c r="B35" s="71"/>
      <c r="C35" s="135" t="s">
        <v>115</v>
      </c>
      <c r="D35" s="143" t="s">
        <v>7</v>
      </c>
      <c r="E35" s="122">
        <v>7</v>
      </c>
      <c r="F35" s="144">
        <f>2259</f>
        <v>2259</v>
      </c>
      <c r="G35" s="144">
        <f t="shared" ref="G35:G44" si="1">E35*F35</f>
        <v>15813</v>
      </c>
    </row>
    <row r="36" spans="1:7" x14ac:dyDescent="0.25">
      <c r="A36" s="68"/>
      <c r="B36" s="71"/>
      <c r="C36" s="135" t="s">
        <v>109</v>
      </c>
      <c r="D36" s="143" t="s">
        <v>7</v>
      </c>
      <c r="E36" s="122">
        <v>58</v>
      </c>
      <c r="F36" s="144">
        <v>34.75</v>
      </c>
      <c r="G36" s="144">
        <f t="shared" si="1"/>
        <v>2015.5</v>
      </c>
    </row>
    <row r="37" spans="1:7" x14ac:dyDescent="0.25">
      <c r="A37" s="68"/>
      <c r="B37" s="71"/>
      <c r="C37" s="135" t="s">
        <v>111</v>
      </c>
      <c r="D37" s="143" t="s">
        <v>7</v>
      </c>
      <c r="E37" s="122">
        <v>1</v>
      </c>
      <c r="F37" s="144">
        <v>75</v>
      </c>
      <c r="G37" s="144">
        <f t="shared" si="1"/>
        <v>75</v>
      </c>
    </row>
    <row r="38" spans="1:7" x14ac:dyDescent="0.25">
      <c r="A38" s="68"/>
      <c r="B38" s="71"/>
      <c r="C38" s="135" t="s">
        <v>112</v>
      </c>
      <c r="D38" s="143" t="s">
        <v>7</v>
      </c>
      <c r="E38" s="122">
        <v>120</v>
      </c>
      <c r="F38" s="144">
        <v>0.55000000000000004</v>
      </c>
      <c r="G38" s="144">
        <f t="shared" si="1"/>
        <v>66</v>
      </c>
    </row>
    <row r="39" spans="1:7" x14ac:dyDescent="0.25">
      <c r="A39" s="68"/>
      <c r="B39" s="71"/>
      <c r="C39" s="135" t="s">
        <v>113</v>
      </c>
      <c r="D39" s="143" t="s">
        <v>7</v>
      </c>
      <c r="E39" s="122">
        <v>40</v>
      </c>
      <c r="F39" s="144">
        <v>1.28</v>
      </c>
      <c r="G39" s="144">
        <f t="shared" si="1"/>
        <v>51.2</v>
      </c>
    </row>
    <row r="40" spans="1:7" x14ac:dyDescent="0.25">
      <c r="A40" s="68"/>
      <c r="B40" s="71"/>
      <c r="C40" s="135" t="s">
        <v>114</v>
      </c>
      <c r="D40" s="143" t="s">
        <v>7</v>
      </c>
      <c r="E40" s="122">
        <v>2</v>
      </c>
      <c r="F40" s="144">
        <v>140</v>
      </c>
      <c r="G40" s="144">
        <f t="shared" si="1"/>
        <v>280</v>
      </c>
    </row>
    <row r="41" spans="1:7" x14ac:dyDescent="0.25">
      <c r="A41" s="68"/>
      <c r="B41" s="71"/>
      <c r="C41" s="135" t="s">
        <v>117</v>
      </c>
      <c r="D41" s="143" t="s">
        <v>7</v>
      </c>
      <c r="E41" s="122">
        <v>20</v>
      </c>
      <c r="F41" s="144">
        <v>135</v>
      </c>
      <c r="G41" s="144">
        <f t="shared" si="1"/>
        <v>2700</v>
      </c>
    </row>
    <row r="42" spans="1:7" x14ac:dyDescent="0.25">
      <c r="A42" s="68"/>
      <c r="B42" s="71"/>
      <c r="C42" s="135" t="s">
        <v>118</v>
      </c>
      <c r="D42" s="143" t="s">
        <v>7</v>
      </c>
      <c r="E42" s="122">
        <v>10</v>
      </c>
      <c r="F42" s="144">
        <v>3255</v>
      </c>
      <c r="G42" s="144">
        <f t="shared" si="1"/>
        <v>32550</v>
      </c>
    </row>
    <row r="43" spans="1:7" x14ac:dyDescent="0.25">
      <c r="A43" s="68"/>
      <c r="B43" s="71"/>
      <c r="C43" s="135" t="s">
        <v>119</v>
      </c>
      <c r="D43" s="143" t="s">
        <v>7</v>
      </c>
      <c r="E43" s="122">
        <v>2</v>
      </c>
      <c r="F43" s="144">
        <v>1199</v>
      </c>
      <c r="G43" s="144">
        <f t="shared" si="1"/>
        <v>2398</v>
      </c>
    </row>
    <row r="44" spans="1:7" x14ac:dyDescent="0.25">
      <c r="A44" s="68"/>
      <c r="B44" s="71"/>
      <c r="C44" s="135" t="s">
        <v>120</v>
      </c>
      <c r="D44" s="143" t="s">
        <v>7</v>
      </c>
      <c r="E44" s="122">
        <v>10</v>
      </c>
      <c r="F44" s="144">
        <v>279.3</v>
      </c>
      <c r="G44" s="144">
        <f t="shared" si="1"/>
        <v>2793</v>
      </c>
    </row>
    <row r="45" spans="1:7" x14ac:dyDescent="0.25">
      <c r="A45" s="68"/>
      <c r="B45" s="71"/>
      <c r="C45" s="135" t="s">
        <v>126</v>
      </c>
      <c r="D45" s="143" t="s">
        <v>124</v>
      </c>
      <c r="E45" s="122" t="s">
        <v>127</v>
      </c>
      <c r="F45" s="144">
        <v>42.12</v>
      </c>
      <c r="G45" s="144">
        <f>673.92+2611.69</f>
        <v>3285.61</v>
      </c>
    </row>
    <row r="46" spans="1:7" x14ac:dyDescent="0.25">
      <c r="A46" s="68"/>
      <c r="B46" s="71"/>
      <c r="C46" s="135" t="s">
        <v>126</v>
      </c>
      <c r="D46" s="143" t="s">
        <v>124</v>
      </c>
      <c r="E46" s="122" t="s">
        <v>128</v>
      </c>
      <c r="F46" s="144">
        <v>42.12</v>
      </c>
      <c r="G46" s="144">
        <v>1280.45</v>
      </c>
    </row>
    <row r="47" spans="1:7" x14ac:dyDescent="0.25">
      <c r="A47" s="69"/>
      <c r="B47" s="72"/>
      <c r="C47" s="135" t="s">
        <v>140</v>
      </c>
      <c r="D47" s="143" t="s">
        <v>7</v>
      </c>
      <c r="E47" s="122">
        <v>2</v>
      </c>
      <c r="F47" s="144">
        <v>9192.75</v>
      </c>
      <c r="G47" s="144">
        <f>E47*F47</f>
        <v>18385.5</v>
      </c>
    </row>
    <row r="48" spans="1:7" x14ac:dyDescent="0.25">
      <c r="A48" s="123"/>
      <c r="B48" s="123"/>
      <c r="C48" s="136" t="s">
        <v>9</v>
      </c>
      <c r="D48" s="123"/>
      <c r="E48" s="124"/>
      <c r="F48" s="145"/>
      <c r="G48" s="145">
        <f>SUM(G34:G47)</f>
        <v>92200.26</v>
      </c>
    </row>
    <row r="49" spans="1:7" x14ac:dyDescent="0.25">
      <c r="A49" s="67">
        <v>3</v>
      </c>
      <c r="B49" s="70" t="s">
        <v>88</v>
      </c>
      <c r="C49" s="135" t="s">
        <v>117</v>
      </c>
      <c r="D49" s="143" t="s">
        <v>7</v>
      </c>
      <c r="E49" s="122">
        <v>20</v>
      </c>
      <c r="F49" s="144">
        <v>88</v>
      </c>
      <c r="G49" s="144">
        <f>E49*F49</f>
        <v>1760</v>
      </c>
    </row>
    <row r="50" spans="1:7" x14ac:dyDescent="0.25">
      <c r="A50" s="68"/>
      <c r="B50" s="71"/>
      <c r="C50" s="135" t="s">
        <v>118</v>
      </c>
      <c r="D50" s="143" t="s">
        <v>7</v>
      </c>
      <c r="E50" s="122">
        <v>10</v>
      </c>
      <c r="F50" s="144">
        <v>1150</v>
      </c>
      <c r="G50" s="144">
        <f t="shared" ref="G50:G51" si="2">E50*F50</f>
        <v>11500</v>
      </c>
    </row>
    <row r="51" spans="1:7" x14ac:dyDescent="0.25">
      <c r="A51" s="68"/>
      <c r="B51" s="71"/>
      <c r="C51" s="135" t="s">
        <v>120</v>
      </c>
      <c r="D51" s="143" t="s">
        <v>7</v>
      </c>
      <c r="E51" s="122">
        <v>10</v>
      </c>
      <c r="F51" s="144">
        <v>140</v>
      </c>
      <c r="G51" s="144">
        <f t="shared" si="2"/>
        <v>1400</v>
      </c>
    </row>
    <row r="52" spans="1:7" x14ac:dyDescent="0.25">
      <c r="A52" s="69"/>
      <c r="B52" s="72"/>
      <c r="C52" s="135" t="s">
        <v>108</v>
      </c>
      <c r="D52" s="143" t="s">
        <v>7</v>
      </c>
      <c r="E52" s="122">
        <v>158</v>
      </c>
      <c r="F52" s="144">
        <f>33.25</f>
        <v>33.25</v>
      </c>
      <c r="G52" s="144">
        <f>E52*F52</f>
        <v>5253.5</v>
      </c>
    </row>
    <row r="53" spans="1:7" x14ac:dyDescent="0.25">
      <c r="A53" s="123"/>
      <c r="B53" s="123"/>
      <c r="C53" s="136" t="s">
        <v>9</v>
      </c>
      <c r="D53" s="123"/>
      <c r="E53" s="124"/>
      <c r="F53" s="145"/>
      <c r="G53" s="145">
        <f>SUM(G49:G52)</f>
        <v>19913.5</v>
      </c>
    </row>
    <row r="54" spans="1:7" hidden="1" x14ac:dyDescent="0.25">
      <c r="A54" s="125"/>
      <c r="B54" s="125" t="s">
        <v>25</v>
      </c>
      <c r="C54" s="135"/>
      <c r="D54" s="143"/>
      <c r="E54" s="122"/>
      <c r="F54" s="144"/>
      <c r="G54" s="144">
        <f>E54*F54</f>
        <v>0</v>
      </c>
    </row>
    <row r="55" spans="1:7" hidden="1" x14ac:dyDescent="0.25">
      <c r="A55" s="123"/>
      <c r="B55" s="123"/>
      <c r="C55" s="136" t="s">
        <v>9</v>
      </c>
      <c r="D55" s="123"/>
      <c r="E55" s="124"/>
      <c r="F55" s="145"/>
      <c r="G55" s="145">
        <f>SUM(G54)</f>
        <v>0</v>
      </c>
    </row>
    <row r="56" spans="1:7" ht="26.25" x14ac:dyDescent="0.25">
      <c r="A56" s="125">
        <v>4</v>
      </c>
      <c r="B56" s="65" t="s">
        <v>26</v>
      </c>
      <c r="C56" s="135" t="s">
        <v>140</v>
      </c>
      <c r="D56" s="143" t="s">
        <v>7</v>
      </c>
      <c r="E56" s="122">
        <v>9</v>
      </c>
      <c r="F56" s="144">
        <v>9192.75</v>
      </c>
      <c r="G56" s="144">
        <f>E56*F56</f>
        <v>82734.75</v>
      </c>
    </row>
    <row r="57" spans="1:7" x14ac:dyDescent="0.25">
      <c r="A57" s="123"/>
      <c r="B57" s="123"/>
      <c r="C57" s="136" t="s">
        <v>9</v>
      </c>
      <c r="D57" s="123"/>
      <c r="E57" s="124"/>
      <c r="F57" s="145"/>
      <c r="G57" s="145">
        <f>SUM(G56)</f>
        <v>82734.75</v>
      </c>
    </row>
    <row r="58" spans="1:7" x14ac:dyDescent="0.25">
      <c r="A58" s="73">
        <v>5</v>
      </c>
      <c r="B58" s="76" t="s">
        <v>45</v>
      </c>
      <c r="C58" s="135" t="s">
        <v>108</v>
      </c>
      <c r="D58" s="143" t="s">
        <v>7</v>
      </c>
      <c r="E58" s="122">
        <f>158+158</f>
        <v>316</v>
      </c>
      <c r="F58" s="144">
        <f>33.25</f>
        <v>33.25</v>
      </c>
      <c r="G58" s="144">
        <f t="shared" ref="G58:G69" si="3">E58*F58</f>
        <v>10507</v>
      </c>
    </row>
    <row r="59" spans="1:7" x14ac:dyDescent="0.25">
      <c r="A59" s="74"/>
      <c r="B59" s="77"/>
      <c r="C59" s="135" t="s">
        <v>115</v>
      </c>
      <c r="D59" s="143" t="s">
        <v>7</v>
      </c>
      <c r="E59" s="122">
        <v>7</v>
      </c>
      <c r="F59" s="144">
        <v>2430</v>
      </c>
      <c r="G59" s="144">
        <f t="shared" si="3"/>
        <v>17010</v>
      </c>
    </row>
    <row r="60" spans="1:7" x14ac:dyDescent="0.25">
      <c r="A60" s="74"/>
      <c r="B60" s="77"/>
      <c r="C60" s="135" t="s">
        <v>116</v>
      </c>
      <c r="D60" s="143" t="s">
        <v>7</v>
      </c>
      <c r="E60" s="122">
        <v>2</v>
      </c>
      <c r="F60" s="144">
        <v>3229.2</v>
      </c>
      <c r="G60" s="144">
        <f t="shared" si="3"/>
        <v>6458.4</v>
      </c>
    </row>
    <row r="61" spans="1:7" x14ac:dyDescent="0.25">
      <c r="A61" s="74"/>
      <c r="B61" s="77"/>
      <c r="C61" s="135" t="s">
        <v>109</v>
      </c>
      <c r="D61" s="143" t="s">
        <v>7</v>
      </c>
      <c r="E61" s="126">
        <v>58</v>
      </c>
      <c r="F61" s="146">
        <v>7</v>
      </c>
      <c r="G61" s="144">
        <f t="shared" si="3"/>
        <v>406</v>
      </c>
    </row>
    <row r="62" spans="1:7" x14ac:dyDescent="0.25">
      <c r="A62" s="74"/>
      <c r="B62" s="77"/>
      <c r="C62" s="135" t="s">
        <v>111</v>
      </c>
      <c r="D62" s="143" t="s">
        <v>7</v>
      </c>
      <c r="E62" s="126">
        <v>1</v>
      </c>
      <c r="F62" s="146">
        <v>60</v>
      </c>
      <c r="G62" s="144">
        <f t="shared" si="3"/>
        <v>60</v>
      </c>
    </row>
    <row r="63" spans="1:7" x14ac:dyDescent="0.25">
      <c r="A63" s="74"/>
      <c r="B63" s="77"/>
      <c r="C63" s="135" t="s">
        <v>112</v>
      </c>
      <c r="D63" s="143" t="s">
        <v>7</v>
      </c>
      <c r="E63" s="126">
        <v>110</v>
      </c>
      <c r="F63" s="146">
        <v>0.5</v>
      </c>
      <c r="G63" s="144">
        <f t="shared" si="3"/>
        <v>55</v>
      </c>
    </row>
    <row r="64" spans="1:7" x14ac:dyDescent="0.25">
      <c r="A64" s="74"/>
      <c r="B64" s="77"/>
      <c r="C64" s="135" t="s">
        <v>113</v>
      </c>
      <c r="D64" s="143" t="s">
        <v>7</v>
      </c>
      <c r="E64" s="126">
        <v>40</v>
      </c>
      <c r="F64" s="146">
        <v>0.85</v>
      </c>
      <c r="G64" s="144">
        <f t="shared" si="3"/>
        <v>34</v>
      </c>
    </row>
    <row r="65" spans="1:7" x14ac:dyDescent="0.25">
      <c r="A65" s="74"/>
      <c r="B65" s="77"/>
      <c r="C65" s="135" t="s">
        <v>114</v>
      </c>
      <c r="D65" s="143" t="s">
        <v>7</v>
      </c>
      <c r="E65" s="126">
        <v>2</v>
      </c>
      <c r="F65" s="146">
        <v>79</v>
      </c>
      <c r="G65" s="144">
        <f t="shared" si="3"/>
        <v>158</v>
      </c>
    </row>
    <row r="66" spans="1:7" x14ac:dyDescent="0.25">
      <c r="A66" s="74"/>
      <c r="B66" s="77"/>
      <c r="C66" s="135" t="s">
        <v>117</v>
      </c>
      <c r="D66" s="143" t="s">
        <v>7</v>
      </c>
      <c r="E66" s="126">
        <v>20</v>
      </c>
      <c r="F66" s="146">
        <v>330</v>
      </c>
      <c r="G66" s="144">
        <f t="shared" si="3"/>
        <v>6600</v>
      </c>
    </row>
    <row r="67" spans="1:7" x14ac:dyDescent="0.25">
      <c r="A67" s="74"/>
      <c r="B67" s="77"/>
      <c r="C67" s="135" t="s">
        <v>118</v>
      </c>
      <c r="D67" s="143" t="s">
        <v>7</v>
      </c>
      <c r="E67" s="126">
        <v>10</v>
      </c>
      <c r="F67" s="146">
        <v>1000</v>
      </c>
      <c r="G67" s="144">
        <f t="shared" si="3"/>
        <v>10000</v>
      </c>
    </row>
    <row r="68" spans="1:7" x14ac:dyDescent="0.25">
      <c r="A68" s="74"/>
      <c r="B68" s="77"/>
      <c r="C68" s="135" t="s">
        <v>119</v>
      </c>
      <c r="D68" s="143" t="s">
        <v>7</v>
      </c>
      <c r="E68" s="126">
        <v>2</v>
      </c>
      <c r="F68" s="146">
        <v>230</v>
      </c>
      <c r="G68" s="144">
        <f t="shared" si="3"/>
        <v>460</v>
      </c>
    </row>
    <row r="69" spans="1:7" x14ac:dyDescent="0.25">
      <c r="A69" s="74"/>
      <c r="B69" s="77"/>
      <c r="C69" s="135" t="s">
        <v>120</v>
      </c>
      <c r="D69" s="143" t="s">
        <v>7</v>
      </c>
      <c r="E69" s="126">
        <v>10</v>
      </c>
      <c r="F69" s="146">
        <v>350</v>
      </c>
      <c r="G69" s="144">
        <f t="shared" si="3"/>
        <v>3500</v>
      </c>
    </row>
    <row r="70" spans="1:7" x14ac:dyDescent="0.25">
      <c r="A70" s="74"/>
      <c r="B70" s="77"/>
      <c r="C70" s="135" t="s">
        <v>123</v>
      </c>
      <c r="D70" s="143" t="s">
        <v>124</v>
      </c>
      <c r="E70" s="126" t="s">
        <v>129</v>
      </c>
      <c r="F70" s="146"/>
      <c r="G70" s="144">
        <f>1082.18+541.09+2159.68</f>
        <v>3782.95</v>
      </c>
    </row>
    <row r="71" spans="1:7" x14ac:dyDescent="0.25">
      <c r="A71" s="75"/>
      <c r="B71" s="78"/>
      <c r="C71" s="135" t="s">
        <v>140</v>
      </c>
      <c r="D71" s="143" t="s">
        <v>7</v>
      </c>
      <c r="E71" s="122">
        <v>4</v>
      </c>
      <c r="F71" s="144">
        <v>9192.75</v>
      </c>
      <c r="G71" s="144">
        <f>E71*F71</f>
        <v>36771</v>
      </c>
    </row>
    <row r="72" spans="1:7" x14ac:dyDescent="0.25">
      <c r="A72" s="123"/>
      <c r="B72" s="123"/>
      <c r="C72" s="136" t="s">
        <v>9</v>
      </c>
      <c r="D72" s="123"/>
      <c r="E72" s="124"/>
      <c r="F72" s="145"/>
      <c r="G72" s="145">
        <f>SUM(G58:G71)</f>
        <v>95802.35</v>
      </c>
    </row>
    <row r="73" spans="1:7" x14ac:dyDescent="0.25">
      <c r="A73" s="67">
        <v>6</v>
      </c>
      <c r="B73" s="70" t="s">
        <v>27</v>
      </c>
      <c r="C73" s="135" t="s">
        <v>108</v>
      </c>
      <c r="D73" s="143" t="s">
        <v>7</v>
      </c>
      <c r="E73" s="122">
        <f>158+158</f>
        <v>316</v>
      </c>
      <c r="F73" s="144">
        <f>33.25</f>
        <v>33.25</v>
      </c>
      <c r="G73" s="144">
        <f t="shared" ref="G73:G83" si="4">E73*F73</f>
        <v>10507</v>
      </c>
    </row>
    <row r="74" spans="1:7" x14ac:dyDescent="0.25">
      <c r="A74" s="68"/>
      <c r="B74" s="71"/>
      <c r="C74" s="135" t="s">
        <v>115</v>
      </c>
      <c r="D74" s="143" t="s">
        <v>7</v>
      </c>
      <c r="E74" s="122">
        <v>7</v>
      </c>
      <c r="F74" s="144">
        <v>2430</v>
      </c>
      <c r="G74" s="144">
        <f t="shared" si="4"/>
        <v>17010</v>
      </c>
    </row>
    <row r="75" spans="1:7" x14ac:dyDescent="0.25">
      <c r="A75" s="68"/>
      <c r="B75" s="71"/>
      <c r="C75" s="135" t="s">
        <v>109</v>
      </c>
      <c r="D75" s="143" t="s">
        <v>7</v>
      </c>
      <c r="E75" s="126">
        <v>58</v>
      </c>
      <c r="F75" s="146">
        <v>7</v>
      </c>
      <c r="G75" s="144">
        <f t="shared" si="4"/>
        <v>406</v>
      </c>
    </row>
    <row r="76" spans="1:7" x14ac:dyDescent="0.25">
      <c r="A76" s="68"/>
      <c r="B76" s="71"/>
      <c r="C76" s="135" t="s">
        <v>111</v>
      </c>
      <c r="D76" s="143" t="s">
        <v>7</v>
      </c>
      <c r="E76" s="126">
        <v>2</v>
      </c>
      <c r="F76" s="146">
        <v>30</v>
      </c>
      <c r="G76" s="144">
        <f t="shared" si="4"/>
        <v>60</v>
      </c>
    </row>
    <row r="77" spans="1:7" x14ac:dyDescent="0.25">
      <c r="A77" s="68"/>
      <c r="B77" s="71"/>
      <c r="C77" s="135" t="s">
        <v>112</v>
      </c>
      <c r="D77" s="143" t="s">
        <v>7</v>
      </c>
      <c r="E77" s="126">
        <v>110</v>
      </c>
      <c r="F77" s="146">
        <v>0.5</v>
      </c>
      <c r="G77" s="144">
        <f t="shared" si="4"/>
        <v>55</v>
      </c>
    </row>
    <row r="78" spans="1:7" x14ac:dyDescent="0.25">
      <c r="A78" s="68"/>
      <c r="B78" s="71"/>
      <c r="C78" s="135" t="s">
        <v>113</v>
      </c>
      <c r="D78" s="143" t="s">
        <v>7</v>
      </c>
      <c r="E78" s="126">
        <v>40</v>
      </c>
      <c r="F78" s="146">
        <v>0.85</v>
      </c>
      <c r="G78" s="144">
        <f t="shared" si="4"/>
        <v>34</v>
      </c>
    </row>
    <row r="79" spans="1:7" x14ac:dyDescent="0.25">
      <c r="A79" s="68"/>
      <c r="B79" s="71"/>
      <c r="C79" s="135" t="s">
        <v>114</v>
      </c>
      <c r="D79" s="143" t="s">
        <v>7</v>
      </c>
      <c r="E79" s="126">
        <v>2</v>
      </c>
      <c r="F79" s="146">
        <v>79</v>
      </c>
      <c r="G79" s="144">
        <f t="shared" si="4"/>
        <v>158</v>
      </c>
    </row>
    <row r="80" spans="1:7" x14ac:dyDescent="0.25">
      <c r="A80" s="68"/>
      <c r="B80" s="71"/>
      <c r="C80" s="135" t="s">
        <v>130</v>
      </c>
      <c r="D80" s="143" t="s">
        <v>7</v>
      </c>
      <c r="E80" s="126">
        <v>10</v>
      </c>
      <c r="F80" s="146">
        <v>180</v>
      </c>
      <c r="G80" s="144">
        <f t="shared" si="4"/>
        <v>1800</v>
      </c>
    </row>
    <row r="81" spans="1:7" x14ac:dyDescent="0.25">
      <c r="A81" s="68"/>
      <c r="B81" s="71"/>
      <c r="C81" s="135" t="s">
        <v>118</v>
      </c>
      <c r="D81" s="143" t="s">
        <v>7</v>
      </c>
      <c r="E81" s="126">
        <v>10</v>
      </c>
      <c r="F81" s="146">
        <v>850</v>
      </c>
      <c r="G81" s="144">
        <f t="shared" si="4"/>
        <v>8500</v>
      </c>
    </row>
    <row r="82" spans="1:7" x14ac:dyDescent="0.25">
      <c r="A82" s="68"/>
      <c r="B82" s="71"/>
      <c r="C82" s="135" t="s">
        <v>119</v>
      </c>
      <c r="D82" s="143" t="s">
        <v>7</v>
      </c>
      <c r="E82" s="126">
        <v>2</v>
      </c>
      <c r="F82" s="146">
        <v>400</v>
      </c>
      <c r="G82" s="144">
        <f t="shared" si="4"/>
        <v>800</v>
      </c>
    </row>
    <row r="83" spans="1:7" x14ac:dyDescent="0.25">
      <c r="A83" s="68"/>
      <c r="B83" s="71"/>
      <c r="C83" s="135" t="s">
        <v>120</v>
      </c>
      <c r="D83" s="143" t="s">
        <v>7</v>
      </c>
      <c r="E83" s="126">
        <v>10</v>
      </c>
      <c r="F83" s="146">
        <v>400</v>
      </c>
      <c r="G83" s="144">
        <f t="shared" si="4"/>
        <v>4000</v>
      </c>
    </row>
    <row r="84" spans="1:7" x14ac:dyDescent="0.25">
      <c r="A84" s="68"/>
      <c r="B84" s="71"/>
      <c r="C84" s="135" t="s">
        <v>126</v>
      </c>
      <c r="D84" s="143" t="s">
        <v>124</v>
      </c>
      <c r="E84" s="126" t="s">
        <v>131</v>
      </c>
      <c r="F84" s="146"/>
      <c r="G84" s="144">
        <v>2611.6999999999998</v>
      </c>
    </row>
    <row r="85" spans="1:7" x14ac:dyDescent="0.25">
      <c r="A85" s="68"/>
      <c r="B85" s="71"/>
      <c r="C85" s="135" t="s">
        <v>126</v>
      </c>
      <c r="D85" s="143" t="s">
        <v>124</v>
      </c>
      <c r="E85" s="126" t="s">
        <v>128</v>
      </c>
      <c r="F85" s="146"/>
      <c r="G85" s="144">
        <v>1280.45</v>
      </c>
    </row>
    <row r="86" spans="1:7" x14ac:dyDescent="0.25">
      <c r="A86" s="69"/>
      <c r="B86" s="72"/>
      <c r="C86" s="135" t="s">
        <v>140</v>
      </c>
      <c r="D86" s="143" t="s">
        <v>7</v>
      </c>
      <c r="E86" s="122">
        <v>5</v>
      </c>
      <c r="F86" s="144">
        <v>9192.75</v>
      </c>
      <c r="G86" s="144">
        <f>E86*F86</f>
        <v>45963.75</v>
      </c>
    </row>
    <row r="87" spans="1:7" x14ac:dyDescent="0.25">
      <c r="A87" s="123"/>
      <c r="B87" s="123"/>
      <c r="C87" s="136" t="s">
        <v>9</v>
      </c>
      <c r="D87" s="123"/>
      <c r="E87" s="124"/>
      <c r="F87" s="145"/>
      <c r="G87" s="145">
        <f>SUM(G73:G86)</f>
        <v>93185.9</v>
      </c>
    </row>
    <row r="88" spans="1:7" ht="26.25" x14ac:dyDescent="0.25">
      <c r="A88" s="125">
        <v>7</v>
      </c>
      <c r="B88" s="65" t="s">
        <v>29</v>
      </c>
      <c r="C88" s="135" t="s">
        <v>140</v>
      </c>
      <c r="D88" s="143" t="s">
        <v>7</v>
      </c>
      <c r="E88" s="122">
        <v>1</v>
      </c>
      <c r="F88" s="144">
        <v>9192.75</v>
      </c>
      <c r="G88" s="144">
        <f>E88*F88</f>
        <v>9192.75</v>
      </c>
    </row>
    <row r="89" spans="1:7" x14ac:dyDescent="0.25">
      <c r="A89" s="123"/>
      <c r="B89" s="123"/>
      <c r="C89" s="136" t="s">
        <v>9</v>
      </c>
      <c r="D89" s="123"/>
      <c r="E89" s="124"/>
      <c r="F89" s="145"/>
      <c r="G89" s="145">
        <f>SUM(G88)</f>
        <v>9192.75</v>
      </c>
    </row>
    <row r="90" spans="1:7" ht="26.25" x14ac:dyDescent="0.25">
      <c r="A90" s="125">
        <v>8</v>
      </c>
      <c r="B90" s="65" t="s">
        <v>32</v>
      </c>
      <c r="C90" s="135" t="s">
        <v>140</v>
      </c>
      <c r="D90" s="143" t="s">
        <v>7</v>
      </c>
      <c r="E90" s="122">
        <v>1</v>
      </c>
      <c r="F90" s="144">
        <v>9192.75</v>
      </c>
      <c r="G90" s="144">
        <f>E90*F90</f>
        <v>9192.75</v>
      </c>
    </row>
    <row r="91" spans="1:7" x14ac:dyDescent="0.25">
      <c r="A91" s="123"/>
      <c r="B91" s="123"/>
      <c r="C91" s="136" t="s">
        <v>9</v>
      </c>
      <c r="D91" s="123"/>
      <c r="E91" s="124"/>
      <c r="F91" s="145"/>
      <c r="G91" s="145">
        <f>SUM(G90)</f>
        <v>9192.75</v>
      </c>
    </row>
    <row r="92" spans="1:7" ht="26.25" x14ac:dyDescent="0.25">
      <c r="A92" s="125">
        <v>9</v>
      </c>
      <c r="B92" s="65" t="s">
        <v>69</v>
      </c>
      <c r="C92" s="135" t="s">
        <v>140</v>
      </c>
      <c r="D92" s="143" t="s">
        <v>7</v>
      </c>
      <c r="E92" s="122">
        <v>2</v>
      </c>
      <c r="F92" s="144">
        <v>9192.75</v>
      </c>
      <c r="G92" s="144">
        <f>E92*F92</f>
        <v>18385.5</v>
      </c>
    </row>
    <row r="93" spans="1:7" x14ac:dyDescent="0.25">
      <c r="A93" s="123"/>
      <c r="B93" s="123"/>
      <c r="C93" s="136" t="s">
        <v>9</v>
      </c>
      <c r="D93" s="123"/>
      <c r="E93" s="124"/>
      <c r="F93" s="145"/>
      <c r="G93" s="145">
        <f>SUM(G92)</f>
        <v>18385.5</v>
      </c>
    </row>
    <row r="94" spans="1:7" x14ac:dyDescent="0.25">
      <c r="A94" s="67">
        <v>10</v>
      </c>
      <c r="B94" s="70" t="s">
        <v>91</v>
      </c>
      <c r="C94" s="135" t="s">
        <v>108</v>
      </c>
      <c r="D94" s="143" t="s">
        <v>7</v>
      </c>
      <c r="E94" s="122">
        <f>158+158</f>
        <v>316</v>
      </c>
      <c r="F94" s="144">
        <f>33.25</f>
        <v>33.25</v>
      </c>
      <c r="G94" s="144">
        <f>E94*F94</f>
        <v>10507</v>
      </c>
    </row>
    <row r="95" spans="1:7" x14ac:dyDescent="0.25">
      <c r="A95" s="68"/>
      <c r="B95" s="71"/>
      <c r="C95" s="135" t="s">
        <v>115</v>
      </c>
      <c r="D95" s="143" t="s">
        <v>7</v>
      </c>
      <c r="E95" s="122">
        <v>7</v>
      </c>
      <c r="F95" s="144">
        <v>2430</v>
      </c>
      <c r="G95" s="144">
        <f t="shared" ref="G95:G110" si="5">E95*F95</f>
        <v>17010</v>
      </c>
    </row>
    <row r="96" spans="1:7" x14ac:dyDescent="0.25">
      <c r="A96" s="68"/>
      <c r="B96" s="71"/>
      <c r="C96" s="135" t="s">
        <v>116</v>
      </c>
      <c r="D96" s="143" t="s">
        <v>7</v>
      </c>
      <c r="E96" s="122">
        <v>2</v>
      </c>
      <c r="F96" s="144">
        <v>3229.2</v>
      </c>
      <c r="G96" s="144">
        <f t="shared" si="5"/>
        <v>6458.4</v>
      </c>
    </row>
    <row r="97" spans="1:7" x14ac:dyDescent="0.25">
      <c r="A97" s="68"/>
      <c r="B97" s="71"/>
      <c r="C97" s="135" t="s">
        <v>109</v>
      </c>
      <c r="D97" s="143" t="s">
        <v>7</v>
      </c>
      <c r="E97" s="126">
        <v>60</v>
      </c>
      <c r="F97" s="146">
        <v>8.3000000000000007</v>
      </c>
      <c r="G97" s="144">
        <f t="shared" si="5"/>
        <v>498.00000000000006</v>
      </c>
    </row>
    <row r="98" spans="1:7" x14ac:dyDescent="0.25">
      <c r="A98" s="68"/>
      <c r="B98" s="71"/>
      <c r="C98" s="135" t="s">
        <v>110</v>
      </c>
      <c r="D98" s="143" t="s">
        <v>7</v>
      </c>
      <c r="E98" s="126">
        <v>1</v>
      </c>
      <c r="F98" s="146">
        <v>31.8</v>
      </c>
      <c r="G98" s="144">
        <f t="shared" si="5"/>
        <v>31.8</v>
      </c>
    </row>
    <row r="99" spans="1:7" x14ac:dyDescent="0.25">
      <c r="A99" s="68"/>
      <c r="B99" s="71"/>
      <c r="C99" s="135" t="s">
        <v>111</v>
      </c>
      <c r="D99" s="143" t="s">
        <v>7</v>
      </c>
      <c r="E99" s="126">
        <v>2</v>
      </c>
      <c r="F99" s="146">
        <v>144.84399999999999</v>
      </c>
      <c r="G99" s="144">
        <f t="shared" si="5"/>
        <v>289.68799999999999</v>
      </c>
    </row>
    <row r="100" spans="1:7" x14ac:dyDescent="0.25">
      <c r="A100" s="68"/>
      <c r="B100" s="71"/>
      <c r="C100" s="135" t="s">
        <v>112</v>
      </c>
      <c r="D100" s="143" t="s">
        <v>7</v>
      </c>
      <c r="E100" s="126">
        <v>120</v>
      </c>
      <c r="F100" s="146">
        <v>1.72</v>
      </c>
      <c r="G100" s="144">
        <f t="shared" si="5"/>
        <v>206.4</v>
      </c>
    </row>
    <row r="101" spans="1:7" x14ac:dyDescent="0.25">
      <c r="A101" s="68"/>
      <c r="B101" s="71"/>
      <c r="C101" s="135" t="s">
        <v>113</v>
      </c>
      <c r="D101" s="143" t="s">
        <v>7</v>
      </c>
      <c r="E101" s="126">
        <v>40</v>
      </c>
      <c r="F101" s="146">
        <v>1.2</v>
      </c>
      <c r="G101" s="144">
        <f t="shared" si="5"/>
        <v>48</v>
      </c>
    </row>
    <row r="102" spans="1:7" x14ac:dyDescent="0.25">
      <c r="A102" s="68"/>
      <c r="B102" s="71"/>
      <c r="C102" s="135" t="s">
        <v>114</v>
      </c>
      <c r="D102" s="143" t="s">
        <v>7</v>
      </c>
      <c r="E102" s="126">
        <v>2</v>
      </c>
      <c r="F102" s="146">
        <v>189</v>
      </c>
      <c r="G102" s="144">
        <f t="shared" si="5"/>
        <v>378</v>
      </c>
    </row>
    <row r="103" spans="1:7" x14ac:dyDescent="0.25">
      <c r="A103" s="68"/>
      <c r="B103" s="71"/>
      <c r="C103" s="135" t="s">
        <v>34</v>
      </c>
      <c r="D103" s="143" t="s">
        <v>7</v>
      </c>
      <c r="E103" s="126">
        <v>1</v>
      </c>
      <c r="F103" s="146">
        <v>50.5</v>
      </c>
      <c r="G103" s="144">
        <f t="shared" si="5"/>
        <v>50.5</v>
      </c>
    </row>
    <row r="104" spans="1:7" x14ac:dyDescent="0.25">
      <c r="A104" s="68"/>
      <c r="B104" s="71"/>
      <c r="C104" s="135" t="s">
        <v>130</v>
      </c>
      <c r="D104" s="143" t="s">
        <v>7</v>
      </c>
      <c r="E104" s="126">
        <v>20</v>
      </c>
      <c r="F104" s="146">
        <v>160</v>
      </c>
      <c r="G104" s="144">
        <f t="shared" si="5"/>
        <v>3200</v>
      </c>
    </row>
    <row r="105" spans="1:7" x14ac:dyDescent="0.25">
      <c r="A105" s="68"/>
      <c r="B105" s="71"/>
      <c r="C105" s="135" t="s">
        <v>118</v>
      </c>
      <c r="D105" s="143" t="s">
        <v>7</v>
      </c>
      <c r="E105" s="126">
        <v>10</v>
      </c>
      <c r="F105" s="146">
        <v>1000</v>
      </c>
      <c r="G105" s="144">
        <f t="shared" si="5"/>
        <v>10000</v>
      </c>
    </row>
    <row r="106" spans="1:7" x14ac:dyDescent="0.25">
      <c r="A106" s="68"/>
      <c r="B106" s="71"/>
      <c r="C106" s="135" t="s">
        <v>119</v>
      </c>
      <c r="D106" s="143" t="s">
        <v>7</v>
      </c>
      <c r="E106" s="126">
        <v>2</v>
      </c>
      <c r="F106" s="146">
        <v>430</v>
      </c>
      <c r="G106" s="144">
        <f t="shared" si="5"/>
        <v>860</v>
      </c>
    </row>
    <row r="107" spans="1:7" x14ac:dyDescent="0.25">
      <c r="A107" s="68"/>
      <c r="B107" s="71"/>
      <c r="C107" s="135" t="s">
        <v>120</v>
      </c>
      <c r="D107" s="143" t="s">
        <v>7</v>
      </c>
      <c r="E107" s="126">
        <v>10</v>
      </c>
      <c r="F107" s="146">
        <v>300</v>
      </c>
      <c r="G107" s="144">
        <f t="shared" si="5"/>
        <v>3000</v>
      </c>
    </row>
    <row r="108" spans="1:7" x14ac:dyDescent="0.25">
      <c r="A108" s="68"/>
      <c r="B108" s="71"/>
      <c r="C108" s="135" t="s">
        <v>132</v>
      </c>
      <c r="D108" s="143" t="s">
        <v>7</v>
      </c>
      <c r="E108" s="126">
        <v>1</v>
      </c>
      <c r="F108" s="146">
        <v>10000</v>
      </c>
      <c r="G108" s="144">
        <f t="shared" si="5"/>
        <v>10000</v>
      </c>
    </row>
    <row r="109" spans="1:7" x14ac:dyDescent="0.25">
      <c r="A109" s="68"/>
      <c r="B109" s="71"/>
      <c r="C109" s="135" t="s">
        <v>133</v>
      </c>
      <c r="D109" s="143" t="s">
        <v>7</v>
      </c>
      <c r="E109" s="126">
        <v>1</v>
      </c>
      <c r="F109" s="146">
        <v>2000</v>
      </c>
      <c r="G109" s="144">
        <f t="shared" si="5"/>
        <v>2000</v>
      </c>
    </row>
    <row r="110" spans="1:7" x14ac:dyDescent="0.25">
      <c r="A110" s="68"/>
      <c r="B110" s="71"/>
      <c r="C110" s="135" t="s">
        <v>134</v>
      </c>
      <c r="D110" s="143" t="s">
        <v>7</v>
      </c>
      <c r="E110" s="126">
        <v>1</v>
      </c>
      <c r="F110" s="146">
        <v>4950</v>
      </c>
      <c r="G110" s="144">
        <f t="shared" si="5"/>
        <v>4950</v>
      </c>
    </row>
    <row r="111" spans="1:7" x14ac:dyDescent="0.25">
      <c r="A111" s="68"/>
      <c r="B111" s="71"/>
      <c r="C111" s="135" t="s">
        <v>123</v>
      </c>
      <c r="D111" s="143" t="s">
        <v>124</v>
      </c>
      <c r="E111" s="126" t="s">
        <v>125</v>
      </c>
      <c r="F111" s="146"/>
      <c r="G111" s="144">
        <f>1082.18+2670.18</f>
        <v>3752.3599999999997</v>
      </c>
    </row>
    <row r="112" spans="1:7" x14ac:dyDescent="0.25">
      <c r="A112" s="69"/>
      <c r="B112" s="72"/>
      <c r="C112" s="135" t="s">
        <v>140</v>
      </c>
      <c r="D112" s="143" t="s">
        <v>7</v>
      </c>
      <c r="E112" s="122">
        <v>2</v>
      </c>
      <c r="F112" s="144">
        <v>9192.75</v>
      </c>
      <c r="G112" s="144">
        <f>E112*F112</f>
        <v>18385.5</v>
      </c>
    </row>
    <row r="113" spans="1:7" x14ac:dyDescent="0.25">
      <c r="A113" s="123"/>
      <c r="B113" s="123"/>
      <c r="C113" s="136" t="s">
        <v>9</v>
      </c>
      <c r="D113" s="123"/>
      <c r="E113" s="124"/>
      <c r="F113" s="145"/>
      <c r="G113" s="145">
        <f>SUM(G94:G112)</f>
        <v>91625.648000000001</v>
      </c>
    </row>
    <row r="114" spans="1:7" ht="26.25" x14ac:dyDescent="0.25">
      <c r="A114" s="125">
        <v>11</v>
      </c>
      <c r="B114" s="65" t="s">
        <v>35</v>
      </c>
      <c r="C114" s="135" t="s">
        <v>140</v>
      </c>
      <c r="D114" s="143" t="s">
        <v>7</v>
      </c>
      <c r="E114" s="122">
        <v>5</v>
      </c>
      <c r="F114" s="144">
        <v>9192.75</v>
      </c>
      <c r="G114" s="144">
        <f>E114*F114</f>
        <v>45963.75</v>
      </c>
    </row>
    <row r="115" spans="1:7" x14ac:dyDescent="0.25">
      <c r="A115" s="123"/>
      <c r="B115" s="123"/>
      <c r="C115" s="136" t="s">
        <v>9</v>
      </c>
      <c r="D115" s="123"/>
      <c r="E115" s="124"/>
      <c r="F115" s="145"/>
      <c r="G115" s="145">
        <f>SUM(G114)</f>
        <v>45963.75</v>
      </c>
    </row>
    <row r="116" spans="1:7" x14ac:dyDescent="0.25">
      <c r="A116" s="67">
        <v>12</v>
      </c>
      <c r="B116" s="70" t="s">
        <v>72</v>
      </c>
      <c r="C116" s="135" t="s">
        <v>108</v>
      </c>
      <c r="D116" s="143" t="s">
        <v>7</v>
      </c>
      <c r="E116" s="122">
        <v>158</v>
      </c>
      <c r="F116" s="144">
        <f>33.25</f>
        <v>33.25</v>
      </c>
      <c r="G116" s="144">
        <f>E116*F116</f>
        <v>5253.5</v>
      </c>
    </row>
    <row r="117" spans="1:7" x14ac:dyDescent="0.25">
      <c r="A117" s="68"/>
      <c r="B117" s="71"/>
      <c r="C117" s="135" t="s">
        <v>109</v>
      </c>
      <c r="D117" s="143" t="s">
        <v>7</v>
      </c>
      <c r="E117" s="122">
        <v>60</v>
      </c>
      <c r="F117" s="144">
        <v>15</v>
      </c>
      <c r="G117" s="144">
        <f t="shared" ref="G117:G124" si="6">E117*F117</f>
        <v>900</v>
      </c>
    </row>
    <row r="118" spans="1:7" x14ac:dyDescent="0.25">
      <c r="A118" s="68"/>
      <c r="B118" s="71"/>
      <c r="C118" s="138" t="s">
        <v>111</v>
      </c>
      <c r="D118" s="143" t="s">
        <v>7</v>
      </c>
      <c r="E118" s="122">
        <v>1</v>
      </c>
      <c r="F118" s="144">
        <v>35</v>
      </c>
      <c r="G118" s="144">
        <f t="shared" si="6"/>
        <v>35</v>
      </c>
    </row>
    <row r="119" spans="1:7" x14ac:dyDescent="0.25">
      <c r="A119" s="68"/>
      <c r="B119" s="71"/>
      <c r="C119" s="135" t="s">
        <v>112</v>
      </c>
      <c r="D119" s="143" t="s">
        <v>7</v>
      </c>
      <c r="E119" s="122">
        <v>110</v>
      </c>
      <c r="F119" s="144">
        <v>0.5</v>
      </c>
      <c r="G119" s="144">
        <f t="shared" si="6"/>
        <v>55</v>
      </c>
    </row>
    <row r="120" spans="1:7" x14ac:dyDescent="0.25">
      <c r="A120" s="68"/>
      <c r="B120" s="71"/>
      <c r="C120" s="135" t="s">
        <v>113</v>
      </c>
      <c r="D120" s="143" t="s">
        <v>7</v>
      </c>
      <c r="E120" s="122">
        <v>40</v>
      </c>
      <c r="F120" s="144">
        <v>0.3</v>
      </c>
      <c r="G120" s="144">
        <f t="shared" si="6"/>
        <v>12</v>
      </c>
    </row>
    <row r="121" spans="1:7" x14ac:dyDescent="0.25">
      <c r="A121" s="68"/>
      <c r="B121" s="71"/>
      <c r="C121" s="135" t="s">
        <v>114</v>
      </c>
      <c r="D121" s="143" t="s">
        <v>7</v>
      </c>
      <c r="E121" s="122">
        <v>2</v>
      </c>
      <c r="F121" s="144">
        <v>85</v>
      </c>
      <c r="G121" s="144">
        <f t="shared" si="6"/>
        <v>170</v>
      </c>
    </row>
    <row r="122" spans="1:7" x14ac:dyDescent="0.25">
      <c r="A122" s="68"/>
      <c r="B122" s="71"/>
      <c r="C122" s="135" t="s">
        <v>130</v>
      </c>
      <c r="D122" s="143" t="s">
        <v>7</v>
      </c>
      <c r="E122" s="126">
        <v>20</v>
      </c>
      <c r="F122" s="146">
        <v>300</v>
      </c>
      <c r="G122" s="144">
        <f t="shared" si="6"/>
        <v>6000</v>
      </c>
    </row>
    <row r="123" spans="1:7" ht="15.75" x14ac:dyDescent="0.25">
      <c r="A123" s="68"/>
      <c r="B123" s="71"/>
      <c r="C123" s="139" t="s">
        <v>483</v>
      </c>
      <c r="D123" s="143" t="s">
        <v>7</v>
      </c>
      <c r="E123" s="126">
        <v>10</v>
      </c>
      <c r="F123" s="146">
        <v>1000</v>
      </c>
      <c r="G123" s="144">
        <f t="shared" si="6"/>
        <v>10000</v>
      </c>
    </row>
    <row r="124" spans="1:7" x14ac:dyDescent="0.25">
      <c r="A124" s="68"/>
      <c r="B124" s="71"/>
      <c r="C124" s="135" t="s">
        <v>120</v>
      </c>
      <c r="D124" s="143" t="s">
        <v>7</v>
      </c>
      <c r="E124" s="126">
        <v>10</v>
      </c>
      <c r="F124" s="144">
        <v>350</v>
      </c>
      <c r="G124" s="144">
        <f t="shared" si="6"/>
        <v>3500</v>
      </c>
    </row>
    <row r="125" spans="1:7" x14ac:dyDescent="0.25">
      <c r="A125" s="68"/>
      <c r="B125" s="71"/>
      <c r="C125" s="135" t="s">
        <v>126</v>
      </c>
      <c r="D125" s="143" t="s">
        <v>124</v>
      </c>
      <c r="E125" s="122" t="s">
        <v>135</v>
      </c>
      <c r="F125" s="144"/>
      <c r="G125" s="144">
        <f>1937.71+1305.72</f>
        <v>3243.4300000000003</v>
      </c>
    </row>
    <row r="126" spans="1:7" x14ac:dyDescent="0.25">
      <c r="A126" s="68"/>
      <c r="B126" s="71"/>
      <c r="C126" s="135" t="s">
        <v>126</v>
      </c>
      <c r="D126" s="143" t="s">
        <v>124</v>
      </c>
      <c r="E126" s="122" t="s">
        <v>128</v>
      </c>
      <c r="F126" s="144"/>
      <c r="G126" s="144">
        <f>1280.45</f>
        <v>1280.45</v>
      </c>
    </row>
    <row r="127" spans="1:7" x14ac:dyDescent="0.25">
      <c r="A127" s="69"/>
      <c r="B127" s="72"/>
      <c r="C127" s="135" t="s">
        <v>140</v>
      </c>
      <c r="D127" s="143" t="s">
        <v>7</v>
      </c>
      <c r="E127" s="122">
        <v>1</v>
      </c>
      <c r="F127" s="144">
        <v>9192.75</v>
      </c>
      <c r="G127" s="144">
        <f>E127*F127</f>
        <v>9192.75</v>
      </c>
    </row>
    <row r="128" spans="1:7" x14ac:dyDescent="0.25">
      <c r="A128" s="123"/>
      <c r="B128" s="123"/>
      <c r="C128" s="136" t="s">
        <v>9</v>
      </c>
      <c r="D128" s="123"/>
      <c r="E128" s="124"/>
      <c r="F128" s="145"/>
      <c r="G128" s="145">
        <f>SUM(G116:G127)</f>
        <v>39642.130000000005</v>
      </c>
    </row>
    <row r="129" spans="1:7" x14ac:dyDescent="0.25">
      <c r="A129" s="73">
        <v>13</v>
      </c>
      <c r="B129" s="76" t="s">
        <v>37</v>
      </c>
      <c r="C129" s="135" t="s">
        <v>108</v>
      </c>
      <c r="D129" s="143" t="s">
        <v>7</v>
      </c>
      <c r="E129" s="122">
        <f>158+158</f>
        <v>316</v>
      </c>
      <c r="F129" s="144">
        <f>33.25</f>
        <v>33.25</v>
      </c>
      <c r="G129" s="146">
        <f>E129*F129</f>
        <v>10507</v>
      </c>
    </row>
    <row r="130" spans="1:7" x14ac:dyDescent="0.25">
      <c r="A130" s="74"/>
      <c r="B130" s="77"/>
      <c r="C130" s="135" t="s">
        <v>115</v>
      </c>
      <c r="D130" s="143" t="s">
        <v>7</v>
      </c>
      <c r="E130" s="122">
        <v>7</v>
      </c>
      <c r="F130" s="144">
        <v>2430</v>
      </c>
      <c r="G130" s="146">
        <f t="shared" ref="G130:G140" si="7">E130*F130</f>
        <v>17010</v>
      </c>
    </row>
    <row r="131" spans="1:7" x14ac:dyDescent="0.25">
      <c r="A131" s="74"/>
      <c r="B131" s="77"/>
      <c r="C131" s="135" t="s">
        <v>109</v>
      </c>
      <c r="D131" s="143" t="s">
        <v>7</v>
      </c>
      <c r="E131" s="126">
        <v>60</v>
      </c>
      <c r="F131" s="146">
        <v>7</v>
      </c>
      <c r="G131" s="146">
        <f t="shared" si="7"/>
        <v>420</v>
      </c>
    </row>
    <row r="132" spans="1:7" x14ac:dyDescent="0.25">
      <c r="A132" s="74"/>
      <c r="B132" s="77"/>
      <c r="C132" s="135" t="s">
        <v>111</v>
      </c>
      <c r="D132" s="143" t="s">
        <v>7</v>
      </c>
      <c r="E132" s="126">
        <v>2</v>
      </c>
      <c r="F132" s="146">
        <v>60</v>
      </c>
      <c r="G132" s="146">
        <f t="shared" si="7"/>
        <v>120</v>
      </c>
    </row>
    <row r="133" spans="1:7" x14ac:dyDescent="0.25">
      <c r="A133" s="74"/>
      <c r="B133" s="77"/>
      <c r="C133" s="135" t="s">
        <v>112</v>
      </c>
      <c r="D133" s="143" t="s">
        <v>7</v>
      </c>
      <c r="E133" s="126">
        <v>120</v>
      </c>
      <c r="F133" s="146">
        <v>0.5</v>
      </c>
      <c r="G133" s="146">
        <f t="shared" si="7"/>
        <v>60</v>
      </c>
    </row>
    <row r="134" spans="1:7" x14ac:dyDescent="0.25">
      <c r="A134" s="74"/>
      <c r="B134" s="77"/>
      <c r="C134" s="135" t="s">
        <v>113</v>
      </c>
      <c r="D134" s="143" t="s">
        <v>7</v>
      </c>
      <c r="E134" s="126">
        <v>40</v>
      </c>
      <c r="F134" s="146">
        <v>0.85</v>
      </c>
      <c r="G134" s="146">
        <f t="shared" si="7"/>
        <v>34</v>
      </c>
    </row>
    <row r="135" spans="1:7" x14ac:dyDescent="0.25">
      <c r="A135" s="74"/>
      <c r="B135" s="77"/>
      <c r="C135" s="135" t="s">
        <v>114</v>
      </c>
      <c r="D135" s="143" t="s">
        <v>7</v>
      </c>
      <c r="E135" s="126">
        <v>2</v>
      </c>
      <c r="F135" s="146">
        <v>79</v>
      </c>
      <c r="G135" s="146">
        <f t="shared" si="7"/>
        <v>158</v>
      </c>
    </row>
    <row r="136" spans="1:7" x14ac:dyDescent="0.25">
      <c r="A136" s="74"/>
      <c r="B136" s="77"/>
      <c r="C136" s="135" t="s">
        <v>34</v>
      </c>
      <c r="D136" s="143" t="s">
        <v>7</v>
      </c>
      <c r="E136" s="126">
        <v>1</v>
      </c>
      <c r="F136" s="146">
        <v>50.5</v>
      </c>
      <c r="G136" s="146">
        <f t="shared" si="7"/>
        <v>50.5</v>
      </c>
    </row>
    <row r="137" spans="1:7" x14ac:dyDescent="0.25">
      <c r="A137" s="74"/>
      <c r="B137" s="77"/>
      <c r="C137" s="135" t="s">
        <v>130</v>
      </c>
      <c r="D137" s="143" t="s">
        <v>7</v>
      </c>
      <c r="E137" s="126">
        <v>20</v>
      </c>
      <c r="F137" s="146">
        <v>135</v>
      </c>
      <c r="G137" s="146">
        <f t="shared" si="7"/>
        <v>2700</v>
      </c>
    </row>
    <row r="138" spans="1:7" x14ac:dyDescent="0.25">
      <c r="A138" s="74"/>
      <c r="B138" s="77"/>
      <c r="C138" s="135" t="s">
        <v>118</v>
      </c>
      <c r="D138" s="143" t="s">
        <v>7</v>
      </c>
      <c r="E138" s="126">
        <v>10</v>
      </c>
      <c r="F138" s="146">
        <v>3255</v>
      </c>
      <c r="G138" s="146">
        <f t="shared" si="7"/>
        <v>32550</v>
      </c>
    </row>
    <row r="139" spans="1:7" x14ac:dyDescent="0.25">
      <c r="A139" s="74"/>
      <c r="B139" s="77"/>
      <c r="C139" s="135" t="s">
        <v>119</v>
      </c>
      <c r="D139" s="143" t="s">
        <v>7</v>
      </c>
      <c r="E139" s="126">
        <v>2</v>
      </c>
      <c r="F139" s="146">
        <v>1199</v>
      </c>
      <c r="G139" s="146">
        <f t="shared" si="7"/>
        <v>2398</v>
      </c>
    </row>
    <row r="140" spans="1:7" x14ac:dyDescent="0.25">
      <c r="A140" s="74"/>
      <c r="B140" s="77"/>
      <c r="C140" s="135" t="s">
        <v>120</v>
      </c>
      <c r="D140" s="143" t="s">
        <v>7</v>
      </c>
      <c r="E140" s="126">
        <v>10</v>
      </c>
      <c r="F140" s="146">
        <v>279.3</v>
      </c>
      <c r="G140" s="146">
        <f t="shared" si="7"/>
        <v>2793</v>
      </c>
    </row>
    <row r="141" spans="1:7" x14ac:dyDescent="0.25">
      <c r="A141" s="74"/>
      <c r="B141" s="77"/>
      <c r="C141" s="135" t="s">
        <v>126</v>
      </c>
      <c r="D141" s="143" t="s">
        <v>124</v>
      </c>
      <c r="E141" s="126" t="s">
        <v>131</v>
      </c>
      <c r="F141" s="146"/>
      <c r="G141" s="146">
        <v>2611.6999999999998</v>
      </c>
    </row>
    <row r="142" spans="1:7" x14ac:dyDescent="0.25">
      <c r="A142" s="74"/>
      <c r="B142" s="77"/>
      <c r="C142" s="135" t="s">
        <v>126</v>
      </c>
      <c r="D142" s="143" t="s">
        <v>124</v>
      </c>
      <c r="E142" s="126" t="s">
        <v>128</v>
      </c>
      <c r="F142" s="146"/>
      <c r="G142" s="146">
        <v>1280.45</v>
      </c>
    </row>
    <row r="143" spans="1:7" x14ac:dyDescent="0.25">
      <c r="A143" s="75"/>
      <c r="B143" s="78"/>
      <c r="C143" s="135" t="s">
        <v>140</v>
      </c>
      <c r="D143" s="143" t="s">
        <v>7</v>
      </c>
      <c r="E143" s="122">
        <v>8</v>
      </c>
      <c r="F143" s="144">
        <v>9192.75</v>
      </c>
      <c r="G143" s="144">
        <f>E143*F143</f>
        <v>73542</v>
      </c>
    </row>
    <row r="144" spans="1:7" x14ac:dyDescent="0.25">
      <c r="A144" s="123"/>
      <c r="B144" s="123"/>
      <c r="C144" s="136" t="s">
        <v>9</v>
      </c>
      <c r="D144" s="123"/>
      <c r="E144" s="124"/>
      <c r="F144" s="145"/>
      <c r="G144" s="145">
        <f>SUM(G129:G143)</f>
        <v>146234.65</v>
      </c>
    </row>
    <row r="145" spans="1:7" x14ac:dyDescent="0.25">
      <c r="A145" s="67">
        <v>14</v>
      </c>
      <c r="B145" s="70" t="s">
        <v>61</v>
      </c>
      <c r="C145" s="135" t="s">
        <v>136</v>
      </c>
      <c r="D145" s="143" t="s">
        <v>7</v>
      </c>
      <c r="E145" s="122">
        <v>2</v>
      </c>
      <c r="F145" s="144">
        <v>11160.69</v>
      </c>
      <c r="G145" s="144">
        <f>E145*F145</f>
        <v>22321.38</v>
      </c>
    </row>
    <row r="146" spans="1:7" x14ac:dyDescent="0.25">
      <c r="A146" s="68"/>
      <c r="B146" s="71"/>
      <c r="C146" s="135" t="s">
        <v>108</v>
      </c>
      <c r="D146" s="143" t="s">
        <v>7</v>
      </c>
      <c r="E146" s="122">
        <v>158</v>
      </c>
      <c r="F146" s="144">
        <f>33.25</f>
        <v>33.25</v>
      </c>
      <c r="G146" s="144">
        <f t="shared" ref="G146:G149" si="8">E146*F146</f>
        <v>5253.5</v>
      </c>
    </row>
    <row r="147" spans="1:7" x14ac:dyDescent="0.25">
      <c r="A147" s="68"/>
      <c r="B147" s="71"/>
      <c r="C147" s="135" t="s">
        <v>20</v>
      </c>
      <c r="D147" s="143" t="s">
        <v>7</v>
      </c>
      <c r="E147" s="122">
        <v>1</v>
      </c>
      <c r="F147" s="144">
        <v>4870</v>
      </c>
      <c r="G147" s="144">
        <f t="shared" si="8"/>
        <v>4870</v>
      </c>
    </row>
    <row r="148" spans="1:7" x14ac:dyDescent="0.25">
      <c r="A148" s="68"/>
      <c r="B148" s="71"/>
      <c r="C148" s="135" t="s">
        <v>21</v>
      </c>
      <c r="D148" s="143" t="s">
        <v>7</v>
      </c>
      <c r="E148" s="122">
        <v>5</v>
      </c>
      <c r="F148" s="144">
        <v>380</v>
      </c>
      <c r="G148" s="144">
        <f t="shared" si="8"/>
        <v>1900</v>
      </c>
    </row>
    <row r="149" spans="1:7" x14ac:dyDescent="0.25">
      <c r="A149" s="68"/>
      <c r="B149" s="71"/>
      <c r="C149" s="135" t="s">
        <v>18</v>
      </c>
      <c r="D149" s="143" t="s">
        <v>7</v>
      </c>
      <c r="E149" s="122">
        <v>1</v>
      </c>
      <c r="F149" s="144">
        <v>11595.74</v>
      </c>
      <c r="G149" s="144">
        <f t="shared" si="8"/>
        <v>11595.74</v>
      </c>
    </row>
    <row r="150" spans="1:7" x14ac:dyDescent="0.25">
      <c r="A150" s="68"/>
      <c r="B150" s="71"/>
      <c r="C150" s="135" t="s">
        <v>99</v>
      </c>
      <c r="D150" s="143" t="s">
        <v>7</v>
      </c>
      <c r="E150" s="122">
        <v>1</v>
      </c>
      <c r="F150" s="144">
        <f>1169.22</f>
        <v>1169.22</v>
      </c>
      <c r="G150" s="144">
        <f>E150*F150</f>
        <v>1169.22</v>
      </c>
    </row>
    <row r="151" spans="1:7" x14ac:dyDescent="0.25">
      <c r="A151" s="68"/>
      <c r="B151" s="71"/>
      <c r="C151" s="135" t="s">
        <v>100</v>
      </c>
      <c r="D151" s="143" t="s">
        <v>7</v>
      </c>
      <c r="E151" s="122">
        <v>1</v>
      </c>
      <c r="F151" s="144">
        <f>623.22</f>
        <v>623.22</v>
      </c>
      <c r="G151" s="144">
        <f t="shared" ref="G151:G159" si="9">E151*F151</f>
        <v>623.22</v>
      </c>
    </row>
    <row r="152" spans="1:7" x14ac:dyDescent="0.25">
      <c r="A152" s="68"/>
      <c r="B152" s="71"/>
      <c r="C152" s="135" t="s">
        <v>101</v>
      </c>
      <c r="D152" s="143" t="s">
        <v>7</v>
      </c>
      <c r="E152" s="122">
        <v>1</v>
      </c>
      <c r="F152" s="144">
        <f>1091.22</f>
        <v>1091.22</v>
      </c>
      <c r="G152" s="144">
        <f t="shared" si="9"/>
        <v>1091.22</v>
      </c>
    </row>
    <row r="153" spans="1:7" x14ac:dyDescent="0.25">
      <c r="A153" s="68"/>
      <c r="B153" s="71"/>
      <c r="C153" s="135" t="s">
        <v>102</v>
      </c>
      <c r="D153" s="143" t="s">
        <v>7</v>
      </c>
      <c r="E153" s="122">
        <v>26</v>
      </c>
      <c r="F153" s="144">
        <f>77.22</f>
        <v>77.22</v>
      </c>
      <c r="G153" s="144">
        <f t="shared" si="9"/>
        <v>2007.72</v>
      </c>
    </row>
    <row r="154" spans="1:7" x14ac:dyDescent="0.25">
      <c r="A154" s="68"/>
      <c r="B154" s="71"/>
      <c r="C154" s="135" t="s">
        <v>103</v>
      </c>
      <c r="D154" s="143" t="s">
        <v>7</v>
      </c>
      <c r="E154" s="122">
        <v>20</v>
      </c>
      <c r="F154" s="144">
        <f>155.22</f>
        <v>155.22</v>
      </c>
      <c r="G154" s="144">
        <f t="shared" si="9"/>
        <v>3104.4</v>
      </c>
    </row>
    <row r="155" spans="1:7" x14ac:dyDescent="0.25">
      <c r="A155" s="68"/>
      <c r="B155" s="71"/>
      <c r="C155" s="135" t="s">
        <v>104</v>
      </c>
      <c r="D155" s="143" t="s">
        <v>7</v>
      </c>
      <c r="E155" s="122">
        <v>20</v>
      </c>
      <c r="F155" s="144">
        <f>233.22</f>
        <v>233.22</v>
      </c>
      <c r="G155" s="144">
        <f t="shared" si="9"/>
        <v>4664.3999999999996</v>
      </c>
    </row>
    <row r="156" spans="1:7" x14ac:dyDescent="0.25">
      <c r="A156" s="68"/>
      <c r="B156" s="71"/>
      <c r="C156" s="135" t="s">
        <v>105</v>
      </c>
      <c r="D156" s="143" t="s">
        <v>7</v>
      </c>
      <c r="E156" s="122">
        <v>20</v>
      </c>
      <c r="F156" s="144">
        <f>69.42</f>
        <v>69.42</v>
      </c>
      <c r="G156" s="144">
        <f t="shared" si="9"/>
        <v>1388.4</v>
      </c>
    </row>
    <row r="157" spans="1:7" x14ac:dyDescent="0.25">
      <c r="A157" s="68"/>
      <c r="B157" s="71"/>
      <c r="C157" s="135" t="s">
        <v>106</v>
      </c>
      <c r="D157" s="143" t="s">
        <v>7</v>
      </c>
      <c r="E157" s="122">
        <v>20</v>
      </c>
      <c r="F157" s="144">
        <f>623.22</f>
        <v>623.22</v>
      </c>
      <c r="G157" s="144">
        <f t="shared" si="9"/>
        <v>12464.400000000001</v>
      </c>
    </row>
    <row r="158" spans="1:7" x14ac:dyDescent="0.25">
      <c r="A158" s="68"/>
      <c r="B158" s="71"/>
      <c r="C158" s="135" t="s">
        <v>107</v>
      </c>
      <c r="D158" s="143" t="s">
        <v>7</v>
      </c>
      <c r="E158" s="122">
        <v>20</v>
      </c>
      <c r="F158" s="144">
        <f>350.22</f>
        <v>350.22</v>
      </c>
      <c r="G158" s="144">
        <f t="shared" si="9"/>
        <v>7004.4000000000005</v>
      </c>
    </row>
    <row r="159" spans="1:7" x14ac:dyDescent="0.25">
      <c r="A159" s="68"/>
      <c r="B159" s="71"/>
      <c r="C159" s="135" t="s">
        <v>139</v>
      </c>
      <c r="D159" s="143" t="s">
        <v>7</v>
      </c>
      <c r="E159" s="122">
        <v>1</v>
      </c>
      <c r="F159" s="144">
        <v>168750</v>
      </c>
      <c r="G159" s="144">
        <f t="shared" si="9"/>
        <v>168750</v>
      </c>
    </row>
    <row r="160" spans="1:7" x14ac:dyDescent="0.25">
      <c r="A160" s="69"/>
      <c r="B160" s="72"/>
      <c r="C160" s="135" t="s">
        <v>140</v>
      </c>
      <c r="D160" s="143" t="s">
        <v>7</v>
      </c>
      <c r="E160" s="122">
        <v>5</v>
      </c>
      <c r="F160" s="144">
        <v>9192.75</v>
      </c>
      <c r="G160" s="144">
        <f>E160*F160</f>
        <v>45963.75</v>
      </c>
    </row>
    <row r="161" spans="1:7" x14ac:dyDescent="0.25">
      <c r="A161" s="123"/>
      <c r="B161" s="123"/>
      <c r="C161" s="136" t="s">
        <v>9</v>
      </c>
      <c r="D161" s="123"/>
      <c r="E161" s="124"/>
      <c r="F161" s="145"/>
      <c r="G161" s="145">
        <f>SUM(G145:G160)</f>
        <v>294171.75</v>
      </c>
    </row>
    <row r="162" spans="1:7" ht="26.25" x14ac:dyDescent="0.25">
      <c r="A162" s="125">
        <v>15</v>
      </c>
      <c r="B162" s="65" t="s">
        <v>44</v>
      </c>
      <c r="C162" s="135" t="s">
        <v>140</v>
      </c>
      <c r="D162" s="143" t="s">
        <v>7</v>
      </c>
      <c r="E162" s="122">
        <v>7</v>
      </c>
      <c r="F162" s="144">
        <v>9192.75</v>
      </c>
      <c r="G162" s="144">
        <f>E162*F162</f>
        <v>64349.25</v>
      </c>
    </row>
    <row r="163" spans="1:7" x14ac:dyDescent="0.25">
      <c r="A163" s="123"/>
      <c r="B163" s="123"/>
      <c r="C163" s="136" t="s">
        <v>9</v>
      </c>
      <c r="D163" s="123"/>
      <c r="E163" s="124"/>
      <c r="F163" s="145"/>
      <c r="G163" s="145">
        <f>SUM(G162)</f>
        <v>64349.25</v>
      </c>
    </row>
    <row r="164" spans="1:7" s="148" customFormat="1" ht="26.25" x14ac:dyDescent="0.25">
      <c r="A164" s="125">
        <v>16</v>
      </c>
      <c r="B164" s="65" t="s">
        <v>141</v>
      </c>
      <c r="C164" s="135" t="s">
        <v>140</v>
      </c>
      <c r="D164" s="143" t="s">
        <v>7</v>
      </c>
      <c r="E164" s="122">
        <v>4</v>
      </c>
      <c r="F164" s="144">
        <v>9192.75</v>
      </c>
      <c r="G164" s="144">
        <f>E164*F164</f>
        <v>36771</v>
      </c>
    </row>
    <row r="165" spans="1:7" x14ac:dyDescent="0.25">
      <c r="A165" s="123"/>
      <c r="B165" s="123"/>
      <c r="C165" s="136" t="s">
        <v>9</v>
      </c>
      <c r="D165" s="123"/>
      <c r="E165" s="124"/>
      <c r="F165" s="145"/>
      <c r="G165" s="145">
        <f>SUM(G164)</f>
        <v>36771</v>
      </c>
    </row>
    <row r="166" spans="1:7" x14ac:dyDescent="0.25">
      <c r="A166" s="67">
        <v>17</v>
      </c>
      <c r="B166" s="70" t="s">
        <v>92</v>
      </c>
      <c r="C166" s="135" t="s">
        <v>108</v>
      </c>
      <c r="D166" s="143" t="s">
        <v>7</v>
      </c>
      <c r="E166" s="122">
        <f>158+158</f>
        <v>316</v>
      </c>
      <c r="F166" s="144">
        <f>33.25</f>
        <v>33.25</v>
      </c>
      <c r="G166" s="146">
        <f>E166*F166</f>
        <v>10507</v>
      </c>
    </row>
    <row r="167" spans="1:7" x14ac:dyDescent="0.25">
      <c r="A167" s="68"/>
      <c r="B167" s="71"/>
      <c r="C167" s="135" t="s">
        <v>115</v>
      </c>
      <c r="D167" s="143" t="s">
        <v>7</v>
      </c>
      <c r="E167" s="122">
        <v>7</v>
      </c>
      <c r="F167" s="144">
        <v>2430</v>
      </c>
      <c r="G167" s="146">
        <f t="shared" ref="G167:G176" si="10">E167*F167</f>
        <v>17010</v>
      </c>
    </row>
    <row r="168" spans="1:7" x14ac:dyDescent="0.25">
      <c r="A168" s="68"/>
      <c r="B168" s="71"/>
      <c r="C168" s="135" t="s">
        <v>109</v>
      </c>
      <c r="D168" s="143" t="s">
        <v>7</v>
      </c>
      <c r="E168" s="126">
        <v>58</v>
      </c>
      <c r="F168" s="146">
        <v>20</v>
      </c>
      <c r="G168" s="146">
        <f t="shared" si="10"/>
        <v>1160</v>
      </c>
    </row>
    <row r="169" spans="1:7" x14ac:dyDescent="0.25">
      <c r="A169" s="68"/>
      <c r="B169" s="71"/>
      <c r="C169" s="135" t="s">
        <v>111</v>
      </c>
      <c r="D169" s="143" t="s">
        <v>7</v>
      </c>
      <c r="E169" s="126">
        <v>1</v>
      </c>
      <c r="F169" s="146">
        <v>80</v>
      </c>
      <c r="G169" s="146">
        <f t="shared" si="10"/>
        <v>80</v>
      </c>
    </row>
    <row r="170" spans="1:7" x14ac:dyDescent="0.25">
      <c r="A170" s="68"/>
      <c r="B170" s="71"/>
      <c r="C170" s="135" t="s">
        <v>112</v>
      </c>
      <c r="D170" s="143" t="s">
        <v>7</v>
      </c>
      <c r="E170" s="126">
        <v>120</v>
      </c>
      <c r="F170" s="146">
        <v>1.25</v>
      </c>
      <c r="G170" s="146">
        <f t="shared" si="10"/>
        <v>150</v>
      </c>
    </row>
    <row r="171" spans="1:7" x14ac:dyDescent="0.25">
      <c r="A171" s="68"/>
      <c r="B171" s="71"/>
      <c r="C171" s="135" t="s">
        <v>113</v>
      </c>
      <c r="D171" s="143" t="s">
        <v>7</v>
      </c>
      <c r="E171" s="126">
        <v>40</v>
      </c>
      <c r="F171" s="146">
        <v>0.7</v>
      </c>
      <c r="G171" s="146">
        <f t="shared" si="10"/>
        <v>28</v>
      </c>
    </row>
    <row r="172" spans="1:7" x14ac:dyDescent="0.25">
      <c r="A172" s="68"/>
      <c r="B172" s="71"/>
      <c r="C172" s="135" t="s">
        <v>114</v>
      </c>
      <c r="D172" s="143" t="s">
        <v>7</v>
      </c>
      <c r="E172" s="126">
        <v>2</v>
      </c>
      <c r="F172" s="146">
        <v>250</v>
      </c>
      <c r="G172" s="146">
        <f t="shared" si="10"/>
        <v>500</v>
      </c>
    </row>
    <row r="173" spans="1:7" x14ac:dyDescent="0.25">
      <c r="A173" s="68"/>
      <c r="B173" s="71"/>
      <c r="C173" s="135" t="s">
        <v>130</v>
      </c>
      <c r="D173" s="143" t="s">
        <v>7</v>
      </c>
      <c r="E173" s="126">
        <v>20</v>
      </c>
      <c r="F173" s="146">
        <v>78</v>
      </c>
      <c r="G173" s="146">
        <f t="shared" si="10"/>
        <v>1560</v>
      </c>
    </row>
    <row r="174" spans="1:7" x14ac:dyDescent="0.25">
      <c r="A174" s="68"/>
      <c r="B174" s="71"/>
      <c r="C174" s="135" t="s">
        <v>118</v>
      </c>
      <c r="D174" s="143" t="s">
        <v>7</v>
      </c>
      <c r="E174" s="126">
        <v>10</v>
      </c>
      <c r="F174" s="146">
        <v>1000</v>
      </c>
      <c r="G174" s="146">
        <f t="shared" si="10"/>
        <v>10000</v>
      </c>
    </row>
    <row r="175" spans="1:7" x14ac:dyDescent="0.25">
      <c r="A175" s="68"/>
      <c r="B175" s="71"/>
      <c r="C175" s="135" t="s">
        <v>119</v>
      </c>
      <c r="D175" s="143" t="s">
        <v>7</v>
      </c>
      <c r="E175" s="126">
        <v>2</v>
      </c>
      <c r="F175" s="146">
        <v>600</v>
      </c>
      <c r="G175" s="146">
        <f t="shared" si="10"/>
        <v>1200</v>
      </c>
    </row>
    <row r="176" spans="1:7" x14ac:dyDescent="0.25">
      <c r="A176" s="68"/>
      <c r="B176" s="71"/>
      <c r="C176" s="135" t="s">
        <v>120</v>
      </c>
      <c r="D176" s="143" t="s">
        <v>7</v>
      </c>
      <c r="E176" s="126">
        <v>10</v>
      </c>
      <c r="F176" s="146">
        <v>350</v>
      </c>
      <c r="G176" s="146">
        <f t="shared" si="10"/>
        <v>3500</v>
      </c>
    </row>
    <row r="177" spans="1:7" x14ac:dyDescent="0.25">
      <c r="A177" s="68"/>
      <c r="B177" s="71"/>
      <c r="C177" s="135" t="s">
        <v>126</v>
      </c>
      <c r="D177" s="143" t="s">
        <v>124</v>
      </c>
      <c r="E177" s="126" t="s">
        <v>131</v>
      </c>
      <c r="F177" s="146"/>
      <c r="G177" s="146">
        <v>2611.69</v>
      </c>
    </row>
    <row r="178" spans="1:7" x14ac:dyDescent="0.25">
      <c r="A178" s="68"/>
      <c r="B178" s="71"/>
      <c r="C178" s="135" t="s">
        <v>126</v>
      </c>
      <c r="D178" s="143" t="s">
        <v>124</v>
      </c>
      <c r="E178" s="126" t="s">
        <v>128</v>
      </c>
      <c r="F178" s="146"/>
      <c r="G178" s="146">
        <v>1280.45</v>
      </c>
    </row>
    <row r="179" spans="1:7" x14ac:dyDescent="0.25">
      <c r="A179" s="69"/>
      <c r="B179" s="72"/>
      <c r="C179" s="135" t="s">
        <v>140</v>
      </c>
      <c r="D179" s="143" t="s">
        <v>7</v>
      </c>
      <c r="E179" s="122">
        <v>6</v>
      </c>
      <c r="F179" s="144">
        <v>9192.75</v>
      </c>
      <c r="G179" s="144">
        <f>E179*F179</f>
        <v>55156.5</v>
      </c>
    </row>
    <row r="180" spans="1:7" x14ac:dyDescent="0.25">
      <c r="A180" s="123"/>
      <c r="B180" s="123"/>
      <c r="C180" s="136" t="s">
        <v>9</v>
      </c>
      <c r="D180" s="123"/>
      <c r="E180" s="124"/>
      <c r="F180" s="145"/>
      <c r="G180" s="145">
        <f>SUM(G166:G179)</f>
        <v>104743.64</v>
      </c>
    </row>
    <row r="181" spans="1:7" ht="26.25" x14ac:dyDescent="0.25">
      <c r="A181" s="125">
        <v>18</v>
      </c>
      <c r="B181" s="65" t="s">
        <v>41</v>
      </c>
      <c r="C181" s="135" t="s">
        <v>140</v>
      </c>
      <c r="D181" s="143" t="s">
        <v>7</v>
      </c>
      <c r="E181" s="122">
        <v>3</v>
      </c>
      <c r="F181" s="144">
        <v>9192.75</v>
      </c>
      <c r="G181" s="144">
        <f>E181*F181</f>
        <v>27578.25</v>
      </c>
    </row>
    <row r="182" spans="1:7" x14ac:dyDescent="0.25">
      <c r="A182" s="123"/>
      <c r="B182" s="123"/>
      <c r="C182" s="136" t="s">
        <v>9</v>
      </c>
      <c r="D182" s="123"/>
      <c r="E182" s="124"/>
      <c r="F182" s="145"/>
      <c r="G182" s="145">
        <f>SUM(G181)</f>
        <v>27578.25</v>
      </c>
    </row>
    <row r="183" spans="1:7" ht="26.25" x14ac:dyDescent="0.25">
      <c r="A183" s="125">
        <v>19</v>
      </c>
      <c r="B183" s="65" t="s">
        <v>70</v>
      </c>
      <c r="C183" s="135" t="s">
        <v>140</v>
      </c>
      <c r="D183" s="143" t="s">
        <v>7</v>
      </c>
      <c r="E183" s="122">
        <v>3</v>
      </c>
      <c r="F183" s="144">
        <v>9192.75</v>
      </c>
      <c r="G183" s="144">
        <f>E183*F183</f>
        <v>27578.25</v>
      </c>
    </row>
    <row r="184" spans="1:7" x14ac:dyDescent="0.25">
      <c r="A184" s="123"/>
      <c r="B184" s="123"/>
      <c r="C184" s="136" t="s">
        <v>9</v>
      </c>
      <c r="D184" s="123"/>
      <c r="E184" s="124"/>
      <c r="F184" s="145"/>
      <c r="G184" s="145">
        <f>SUM(G183)</f>
        <v>27578.25</v>
      </c>
    </row>
    <row r="185" spans="1:7" x14ac:dyDescent="0.25">
      <c r="A185" s="67">
        <v>20</v>
      </c>
      <c r="B185" s="70" t="s">
        <v>96</v>
      </c>
      <c r="C185" s="135" t="s">
        <v>108</v>
      </c>
      <c r="D185" s="143" t="s">
        <v>7</v>
      </c>
      <c r="E185" s="122">
        <f>158+158</f>
        <v>316</v>
      </c>
      <c r="F185" s="144">
        <f>33.25</f>
        <v>33.25</v>
      </c>
      <c r="G185" s="146">
        <f>E185*F185</f>
        <v>10507</v>
      </c>
    </row>
    <row r="186" spans="1:7" x14ac:dyDescent="0.25">
      <c r="A186" s="68"/>
      <c r="B186" s="71"/>
      <c r="C186" s="135" t="s">
        <v>137</v>
      </c>
      <c r="D186" s="143" t="s">
        <v>7</v>
      </c>
      <c r="E186" s="122">
        <v>20</v>
      </c>
      <c r="F186" s="144">
        <v>116.27</v>
      </c>
      <c r="G186" s="146">
        <f t="shared" ref="G186:G197" si="11">E186*F186</f>
        <v>2325.4</v>
      </c>
    </row>
    <row r="187" spans="1:7" x14ac:dyDescent="0.25">
      <c r="A187" s="68"/>
      <c r="B187" s="71"/>
      <c r="C187" s="135" t="s">
        <v>138</v>
      </c>
      <c r="D187" s="143" t="s">
        <v>7</v>
      </c>
      <c r="E187" s="122">
        <v>3</v>
      </c>
      <c r="F187" s="144">
        <v>425</v>
      </c>
      <c r="G187" s="146">
        <f t="shared" si="11"/>
        <v>1275</v>
      </c>
    </row>
    <row r="188" spans="1:7" x14ac:dyDescent="0.25">
      <c r="A188" s="68"/>
      <c r="B188" s="71"/>
      <c r="C188" s="135" t="s">
        <v>115</v>
      </c>
      <c r="D188" s="143" t="s">
        <v>7</v>
      </c>
      <c r="E188" s="122">
        <v>7</v>
      </c>
      <c r="F188" s="144">
        <v>2430</v>
      </c>
      <c r="G188" s="146">
        <f t="shared" si="11"/>
        <v>17010</v>
      </c>
    </row>
    <row r="189" spans="1:7" x14ac:dyDescent="0.25">
      <c r="A189" s="68"/>
      <c r="B189" s="71"/>
      <c r="C189" s="135" t="s">
        <v>109</v>
      </c>
      <c r="D189" s="143" t="s">
        <v>7</v>
      </c>
      <c r="E189" s="126">
        <v>58</v>
      </c>
      <c r="F189" s="146">
        <v>17.649999999999999</v>
      </c>
      <c r="G189" s="146">
        <f t="shared" si="11"/>
        <v>1023.6999999999999</v>
      </c>
    </row>
    <row r="190" spans="1:7" x14ac:dyDescent="0.25">
      <c r="A190" s="68"/>
      <c r="B190" s="71"/>
      <c r="C190" s="135" t="s">
        <v>111</v>
      </c>
      <c r="D190" s="143" t="s">
        <v>7</v>
      </c>
      <c r="E190" s="126">
        <v>1</v>
      </c>
      <c r="F190" s="146">
        <v>58</v>
      </c>
      <c r="G190" s="146">
        <f t="shared" si="11"/>
        <v>58</v>
      </c>
    </row>
    <row r="191" spans="1:7" x14ac:dyDescent="0.25">
      <c r="A191" s="68"/>
      <c r="B191" s="71"/>
      <c r="C191" s="135" t="s">
        <v>112</v>
      </c>
      <c r="D191" s="143" t="s">
        <v>7</v>
      </c>
      <c r="E191" s="126">
        <v>120</v>
      </c>
      <c r="F191" s="146">
        <v>5.4</v>
      </c>
      <c r="G191" s="146">
        <f t="shared" si="11"/>
        <v>648</v>
      </c>
    </row>
    <row r="192" spans="1:7" x14ac:dyDescent="0.25">
      <c r="A192" s="68"/>
      <c r="B192" s="71"/>
      <c r="C192" s="135" t="s">
        <v>113</v>
      </c>
      <c r="D192" s="143" t="s">
        <v>7</v>
      </c>
      <c r="E192" s="126">
        <v>40</v>
      </c>
      <c r="F192" s="146">
        <v>3.7</v>
      </c>
      <c r="G192" s="146">
        <f t="shared" si="11"/>
        <v>148</v>
      </c>
    </row>
    <row r="193" spans="1:7" x14ac:dyDescent="0.25">
      <c r="A193" s="68"/>
      <c r="B193" s="71"/>
      <c r="C193" s="135" t="s">
        <v>114</v>
      </c>
      <c r="D193" s="143" t="s">
        <v>7</v>
      </c>
      <c r="E193" s="126">
        <v>2</v>
      </c>
      <c r="F193" s="146">
        <v>270</v>
      </c>
      <c r="G193" s="146">
        <f t="shared" si="11"/>
        <v>540</v>
      </c>
    </row>
    <row r="194" spans="1:7" x14ac:dyDescent="0.25">
      <c r="A194" s="68"/>
      <c r="B194" s="71"/>
      <c r="C194" s="135" t="s">
        <v>130</v>
      </c>
      <c r="D194" s="143" t="s">
        <v>7</v>
      </c>
      <c r="E194" s="126">
        <v>20</v>
      </c>
      <c r="F194" s="146">
        <v>250</v>
      </c>
      <c r="G194" s="146">
        <f t="shared" si="11"/>
        <v>5000</v>
      </c>
    </row>
    <row r="195" spans="1:7" x14ac:dyDescent="0.25">
      <c r="A195" s="68"/>
      <c r="B195" s="71"/>
      <c r="C195" s="135" t="s">
        <v>118</v>
      </c>
      <c r="D195" s="143" t="s">
        <v>7</v>
      </c>
      <c r="E195" s="126">
        <v>10</v>
      </c>
      <c r="F195" s="146">
        <v>3674</v>
      </c>
      <c r="G195" s="146">
        <f t="shared" si="11"/>
        <v>36740</v>
      </c>
    </row>
    <row r="196" spans="1:7" x14ac:dyDescent="0.25">
      <c r="A196" s="68"/>
      <c r="B196" s="71"/>
      <c r="C196" s="135" t="s">
        <v>119</v>
      </c>
      <c r="D196" s="143" t="s">
        <v>7</v>
      </c>
      <c r="E196" s="126">
        <v>2</v>
      </c>
      <c r="F196" s="146">
        <v>2499</v>
      </c>
      <c r="G196" s="146">
        <f t="shared" si="11"/>
        <v>4998</v>
      </c>
    </row>
    <row r="197" spans="1:7" x14ac:dyDescent="0.25">
      <c r="A197" s="68"/>
      <c r="B197" s="71"/>
      <c r="C197" s="135" t="s">
        <v>120</v>
      </c>
      <c r="D197" s="143" t="s">
        <v>7</v>
      </c>
      <c r="E197" s="126">
        <v>10</v>
      </c>
      <c r="F197" s="146">
        <v>279.3</v>
      </c>
      <c r="G197" s="146">
        <f t="shared" si="11"/>
        <v>2793</v>
      </c>
    </row>
    <row r="198" spans="1:7" x14ac:dyDescent="0.25">
      <c r="A198" s="68"/>
      <c r="B198" s="71"/>
      <c r="C198" s="135" t="s">
        <v>126</v>
      </c>
      <c r="D198" s="143" t="s">
        <v>124</v>
      </c>
      <c r="E198" s="126" t="s">
        <v>131</v>
      </c>
      <c r="F198" s="146"/>
      <c r="G198" s="146">
        <v>2611.69</v>
      </c>
    </row>
    <row r="199" spans="1:7" x14ac:dyDescent="0.25">
      <c r="A199" s="68"/>
      <c r="B199" s="71"/>
      <c r="C199" s="135" t="s">
        <v>126</v>
      </c>
      <c r="D199" s="143" t="s">
        <v>124</v>
      </c>
      <c r="E199" s="126" t="s">
        <v>128</v>
      </c>
      <c r="F199" s="146"/>
      <c r="G199" s="146">
        <v>1280.45</v>
      </c>
    </row>
    <row r="200" spans="1:7" x14ac:dyDescent="0.25">
      <c r="A200" s="69"/>
      <c r="B200" s="72"/>
      <c r="C200" s="135" t="s">
        <v>140</v>
      </c>
      <c r="D200" s="143" t="s">
        <v>7</v>
      </c>
      <c r="E200" s="122">
        <v>3</v>
      </c>
      <c r="F200" s="144">
        <v>9192.75</v>
      </c>
      <c r="G200" s="144">
        <f>E200*F200</f>
        <v>27578.25</v>
      </c>
    </row>
    <row r="201" spans="1:7" x14ac:dyDescent="0.25">
      <c r="A201" s="123"/>
      <c r="B201" s="123"/>
      <c r="C201" s="136" t="s">
        <v>9</v>
      </c>
      <c r="D201" s="123"/>
      <c r="E201" s="124"/>
      <c r="F201" s="145"/>
      <c r="G201" s="145">
        <f>SUM(G185:G200)</f>
        <v>114536.49</v>
      </c>
    </row>
    <row r="202" spans="1:7" ht="26.25" x14ac:dyDescent="0.25">
      <c r="A202" s="125">
        <v>21</v>
      </c>
      <c r="B202" s="65" t="s">
        <v>43</v>
      </c>
      <c r="C202" s="135" t="s">
        <v>140</v>
      </c>
      <c r="D202" s="143" t="s">
        <v>7</v>
      </c>
      <c r="E202" s="122">
        <v>1</v>
      </c>
      <c r="F202" s="144">
        <v>9192.75</v>
      </c>
      <c r="G202" s="144">
        <f>E202*F202</f>
        <v>9192.75</v>
      </c>
    </row>
    <row r="203" spans="1:7" x14ac:dyDescent="0.25">
      <c r="A203" s="123"/>
      <c r="B203" s="123"/>
      <c r="C203" s="136" t="s">
        <v>9</v>
      </c>
      <c r="D203" s="123"/>
      <c r="E203" s="124"/>
      <c r="F203" s="145"/>
      <c r="G203" s="145">
        <f>SUM(G202)</f>
        <v>9192.75</v>
      </c>
    </row>
    <row r="204" spans="1:7" x14ac:dyDescent="0.25">
      <c r="A204" s="127" t="s">
        <v>675</v>
      </c>
      <c r="B204" s="128"/>
      <c r="C204" s="140"/>
      <c r="D204" s="130"/>
      <c r="E204" s="129"/>
      <c r="F204" s="149"/>
      <c r="G204" s="149">
        <f>G203+G201+G184+G182+G180+G165+G163+G161+G144+G128+G115+G113+G93+G91+G89+G87+G72+G57+G55+G53+G48+G33+G31</f>
        <v>1525222.4580000001</v>
      </c>
    </row>
    <row r="205" spans="1:7" ht="26.25" hidden="1" x14ac:dyDescent="0.25">
      <c r="A205" s="125">
        <v>22</v>
      </c>
      <c r="B205" s="65" t="s">
        <v>97</v>
      </c>
      <c r="C205" s="135" t="s">
        <v>140</v>
      </c>
      <c r="D205" s="143" t="s">
        <v>7</v>
      </c>
      <c r="E205" s="122"/>
      <c r="F205" s="146">
        <v>9192.75</v>
      </c>
      <c r="G205" s="146">
        <f>E205*F205</f>
        <v>0</v>
      </c>
    </row>
    <row r="206" spans="1:7" hidden="1" x14ac:dyDescent="0.25">
      <c r="A206" s="123"/>
      <c r="B206" s="123"/>
      <c r="C206" s="136"/>
      <c r="D206" s="123"/>
      <c r="E206" s="124"/>
      <c r="F206" s="145"/>
      <c r="G206" s="149">
        <f>SUM(G205)</f>
        <v>0</v>
      </c>
    </row>
    <row r="207" spans="1:7" hidden="1" x14ac:dyDescent="0.25">
      <c r="A207" s="130"/>
      <c r="B207" s="130"/>
      <c r="C207" s="140"/>
      <c r="D207" s="130"/>
      <c r="E207" s="129"/>
      <c r="F207" s="149"/>
      <c r="G207" s="150">
        <f>G206+G204</f>
        <v>1525222.4580000001</v>
      </c>
    </row>
  </sheetData>
  <mergeCells count="24">
    <mergeCell ref="A204:B204"/>
    <mergeCell ref="A1:G1"/>
    <mergeCell ref="B3:B30"/>
    <mergeCell ref="A3:A30"/>
    <mergeCell ref="A34:A47"/>
    <mergeCell ref="B34:B47"/>
    <mergeCell ref="B49:B52"/>
    <mergeCell ref="A49:A52"/>
    <mergeCell ref="A58:A71"/>
    <mergeCell ref="B58:B71"/>
    <mergeCell ref="A73:A86"/>
    <mergeCell ref="B73:B86"/>
    <mergeCell ref="A94:A112"/>
    <mergeCell ref="B94:B112"/>
    <mergeCell ref="A166:A179"/>
    <mergeCell ref="B166:B179"/>
    <mergeCell ref="A185:A200"/>
    <mergeCell ref="B185:B200"/>
    <mergeCell ref="A116:A127"/>
    <mergeCell ref="B116:B127"/>
    <mergeCell ref="A129:A143"/>
    <mergeCell ref="B129:B143"/>
    <mergeCell ref="A145:A160"/>
    <mergeCell ref="B145:B160"/>
  </mergeCells>
  <pageMargins left="0.70866141732283472" right="0.70866141732283472" top="0.2" bottom="0.2" header="0.31496062992125984" footer="0.31496062992125984"/>
  <pageSetup paperSize="9" scale="64" orientation="landscape" verticalDpi="0" r:id="rId1"/>
  <rowBreaks count="3" manualBreakCount="3">
    <brk id="53" max="16383" man="1"/>
    <brk id="106" max="14" man="1"/>
    <brk id="161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4"/>
  <sheetViews>
    <sheetView view="pageBreakPreview" zoomScaleSheetLayoutView="100" workbookViewId="0">
      <selection activeCell="A2" sqref="A2"/>
    </sheetView>
  </sheetViews>
  <sheetFormatPr defaultRowHeight="15" x14ac:dyDescent="0.25"/>
  <cols>
    <col min="1" max="1" width="9.85546875" style="131" customWidth="1"/>
    <col min="2" max="2" width="20.85546875" style="131" customWidth="1"/>
    <col min="3" max="3" width="37" style="133" customWidth="1"/>
    <col min="4" max="4" width="9.140625" style="131"/>
    <col min="5" max="5" width="9.140625" style="132"/>
    <col min="6" max="6" width="12" style="151" customWidth="1"/>
    <col min="7" max="7" width="13.85546875" style="151" customWidth="1"/>
    <col min="8" max="16384" width="9.140625" style="131"/>
  </cols>
  <sheetData>
    <row r="1" spans="1:7" ht="18.75" x14ac:dyDescent="0.25">
      <c r="A1" s="152" t="s">
        <v>142</v>
      </c>
      <c r="B1" s="152"/>
      <c r="C1" s="152"/>
      <c r="D1" s="152"/>
      <c r="E1" s="152"/>
      <c r="F1" s="152"/>
      <c r="G1" s="152"/>
    </row>
    <row r="2" spans="1:7" x14ac:dyDescent="0.25">
      <c r="A2" s="120" t="s">
        <v>0</v>
      </c>
      <c r="B2" s="141" t="s">
        <v>1</v>
      </c>
      <c r="C2" s="134" t="s">
        <v>2</v>
      </c>
      <c r="D2" s="141" t="s">
        <v>3</v>
      </c>
      <c r="E2" s="121" t="s">
        <v>4</v>
      </c>
      <c r="F2" s="142" t="s">
        <v>5</v>
      </c>
      <c r="G2" s="142" t="s">
        <v>6</v>
      </c>
    </row>
    <row r="3" spans="1:7" x14ac:dyDescent="0.25">
      <c r="A3" s="67">
        <v>1</v>
      </c>
      <c r="B3" s="70" t="s">
        <v>55</v>
      </c>
      <c r="C3" s="135" t="s">
        <v>165</v>
      </c>
      <c r="D3" s="155" t="s">
        <v>7</v>
      </c>
      <c r="E3" s="153">
        <v>3</v>
      </c>
      <c r="F3" s="156">
        <f>1974.78</f>
        <v>1974.78</v>
      </c>
      <c r="G3" s="156">
        <f t="shared" ref="G3:G32" si="0">E3*F3</f>
        <v>5924.34</v>
      </c>
    </row>
    <row r="4" spans="1:7" x14ac:dyDescent="0.25">
      <c r="A4" s="68"/>
      <c r="B4" s="71"/>
      <c r="C4" s="135" t="s">
        <v>143</v>
      </c>
      <c r="D4" s="155" t="s">
        <v>7</v>
      </c>
      <c r="E4" s="153">
        <v>2</v>
      </c>
      <c r="F4" s="156">
        <v>5046.66</v>
      </c>
      <c r="G4" s="156">
        <f t="shared" si="0"/>
        <v>10093.32</v>
      </c>
    </row>
    <row r="5" spans="1:7" x14ac:dyDescent="0.25">
      <c r="A5" s="68"/>
      <c r="B5" s="71"/>
      <c r="C5" s="135" t="s">
        <v>181</v>
      </c>
      <c r="D5" s="155" t="s">
        <v>7</v>
      </c>
      <c r="E5" s="153">
        <v>4</v>
      </c>
      <c r="F5" s="156">
        <v>682.4</v>
      </c>
      <c r="G5" s="156">
        <f t="shared" si="0"/>
        <v>2729.6</v>
      </c>
    </row>
    <row r="6" spans="1:7" x14ac:dyDescent="0.25">
      <c r="A6" s="68"/>
      <c r="B6" s="71"/>
      <c r="C6" s="135" t="s">
        <v>85</v>
      </c>
      <c r="D6" s="155" t="s">
        <v>7</v>
      </c>
      <c r="E6" s="153">
        <v>31</v>
      </c>
      <c r="F6" s="156">
        <v>1073</v>
      </c>
      <c r="G6" s="156">
        <f t="shared" si="0"/>
        <v>33263</v>
      </c>
    </row>
    <row r="7" spans="1:7" x14ac:dyDescent="0.25">
      <c r="A7" s="68"/>
      <c r="B7" s="71"/>
      <c r="C7" s="135" t="s">
        <v>161</v>
      </c>
      <c r="D7" s="155" t="s">
        <v>7</v>
      </c>
      <c r="E7" s="153">
        <v>16</v>
      </c>
      <c r="F7" s="156">
        <v>25</v>
      </c>
      <c r="G7" s="156">
        <f t="shared" si="0"/>
        <v>400</v>
      </c>
    </row>
    <row r="8" spans="1:7" x14ac:dyDescent="0.25">
      <c r="A8" s="68"/>
      <c r="B8" s="71"/>
      <c r="C8" s="135" t="s">
        <v>158</v>
      </c>
      <c r="D8" s="155" t="s">
        <v>7</v>
      </c>
      <c r="E8" s="153">
        <v>4</v>
      </c>
      <c r="F8" s="156">
        <v>269</v>
      </c>
      <c r="G8" s="156">
        <f t="shared" si="0"/>
        <v>1076</v>
      </c>
    </row>
    <row r="9" spans="1:7" x14ac:dyDescent="0.25">
      <c r="A9" s="68"/>
      <c r="B9" s="71"/>
      <c r="C9" s="135" t="s">
        <v>224</v>
      </c>
      <c r="D9" s="155" t="s">
        <v>7</v>
      </c>
      <c r="E9" s="153">
        <v>10</v>
      </c>
      <c r="F9" s="156">
        <v>45.5</v>
      </c>
      <c r="G9" s="156">
        <f t="shared" si="0"/>
        <v>455</v>
      </c>
    </row>
    <row r="10" spans="1:7" x14ac:dyDescent="0.25">
      <c r="A10" s="68"/>
      <c r="B10" s="71"/>
      <c r="C10" s="135" t="s">
        <v>170</v>
      </c>
      <c r="D10" s="155" t="s">
        <v>7</v>
      </c>
      <c r="E10" s="153">
        <v>11</v>
      </c>
      <c r="F10" s="156">
        <v>80</v>
      </c>
      <c r="G10" s="156">
        <f t="shared" si="0"/>
        <v>880</v>
      </c>
    </row>
    <row r="11" spans="1:7" x14ac:dyDescent="0.25">
      <c r="A11" s="68"/>
      <c r="B11" s="71"/>
      <c r="C11" s="135" t="s">
        <v>34</v>
      </c>
      <c r="D11" s="155" t="s">
        <v>7</v>
      </c>
      <c r="E11" s="153">
        <v>5</v>
      </c>
      <c r="F11" s="156">
        <v>40</v>
      </c>
      <c r="G11" s="156">
        <f t="shared" si="0"/>
        <v>200</v>
      </c>
    </row>
    <row r="12" spans="1:7" x14ac:dyDescent="0.25">
      <c r="A12" s="68"/>
      <c r="B12" s="71"/>
      <c r="C12" s="135" t="s">
        <v>171</v>
      </c>
      <c r="D12" s="155" t="s">
        <v>7</v>
      </c>
      <c r="E12" s="153">
        <v>2</v>
      </c>
      <c r="F12" s="156">
        <v>279</v>
      </c>
      <c r="G12" s="156">
        <f t="shared" si="0"/>
        <v>558</v>
      </c>
    </row>
    <row r="13" spans="1:7" x14ac:dyDescent="0.25">
      <c r="A13" s="68"/>
      <c r="B13" s="71"/>
      <c r="C13" s="135" t="s">
        <v>93</v>
      </c>
      <c r="D13" s="155" t="s">
        <v>7</v>
      </c>
      <c r="E13" s="153">
        <v>10</v>
      </c>
      <c r="F13" s="156">
        <v>49</v>
      </c>
      <c r="G13" s="156">
        <f t="shared" si="0"/>
        <v>490</v>
      </c>
    </row>
    <row r="14" spans="1:7" x14ac:dyDescent="0.25">
      <c r="A14" s="68"/>
      <c r="B14" s="71"/>
      <c r="C14" s="135" t="s">
        <v>95</v>
      </c>
      <c r="D14" s="155" t="s">
        <v>7</v>
      </c>
      <c r="E14" s="153">
        <v>30</v>
      </c>
      <c r="F14" s="156">
        <v>36</v>
      </c>
      <c r="G14" s="156">
        <f t="shared" si="0"/>
        <v>1080</v>
      </c>
    </row>
    <row r="15" spans="1:7" x14ac:dyDescent="0.25">
      <c r="A15" s="68"/>
      <c r="B15" s="71"/>
      <c r="C15" s="135" t="s">
        <v>14</v>
      </c>
      <c r="D15" s="155" t="s">
        <v>7</v>
      </c>
      <c r="E15" s="153">
        <v>33</v>
      </c>
      <c r="F15" s="156">
        <v>11</v>
      </c>
      <c r="G15" s="156">
        <f t="shared" si="0"/>
        <v>363</v>
      </c>
    </row>
    <row r="16" spans="1:7" x14ac:dyDescent="0.25">
      <c r="A16" s="68"/>
      <c r="B16" s="71"/>
      <c r="C16" s="135" t="s">
        <v>225</v>
      </c>
      <c r="D16" s="155" t="s">
        <v>7</v>
      </c>
      <c r="E16" s="153">
        <v>2</v>
      </c>
      <c r="F16" s="156">
        <v>88</v>
      </c>
      <c r="G16" s="156">
        <f t="shared" si="0"/>
        <v>176</v>
      </c>
    </row>
    <row r="17" spans="1:7" x14ac:dyDescent="0.25">
      <c r="A17" s="68"/>
      <c r="B17" s="71"/>
      <c r="C17" s="135" t="s">
        <v>176</v>
      </c>
      <c r="D17" s="155" t="s">
        <v>7</v>
      </c>
      <c r="E17" s="153">
        <v>24</v>
      </c>
      <c r="F17" s="156">
        <v>24</v>
      </c>
      <c r="G17" s="156">
        <f t="shared" si="0"/>
        <v>576</v>
      </c>
    </row>
    <row r="18" spans="1:7" x14ac:dyDescent="0.25">
      <c r="A18" s="68"/>
      <c r="B18" s="71"/>
      <c r="C18" s="135" t="s">
        <v>192</v>
      </c>
      <c r="D18" s="155" t="s">
        <v>7</v>
      </c>
      <c r="E18" s="153">
        <v>10</v>
      </c>
      <c r="F18" s="156">
        <v>16.3</v>
      </c>
      <c r="G18" s="156">
        <f t="shared" si="0"/>
        <v>163</v>
      </c>
    </row>
    <row r="19" spans="1:7" x14ac:dyDescent="0.25">
      <c r="A19" s="68"/>
      <c r="B19" s="71"/>
      <c r="C19" s="135" t="s">
        <v>179</v>
      </c>
      <c r="D19" s="155" t="s">
        <v>7</v>
      </c>
      <c r="E19" s="153">
        <v>5</v>
      </c>
      <c r="F19" s="156">
        <v>230.5</v>
      </c>
      <c r="G19" s="156">
        <f t="shared" si="0"/>
        <v>1152.5</v>
      </c>
    </row>
    <row r="20" spans="1:7" x14ac:dyDescent="0.25">
      <c r="A20" s="68"/>
      <c r="B20" s="71"/>
      <c r="C20" s="135" t="s">
        <v>189</v>
      </c>
      <c r="D20" s="155" t="s">
        <v>7</v>
      </c>
      <c r="E20" s="153">
        <v>2</v>
      </c>
      <c r="F20" s="156">
        <v>149</v>
      </c>
      <c r="G20" s="156">
        <f t="shared" si="0"/>
        <v>298</v>
      </c>
    </row>
    <row r="21" spans="1:7" x14ac:dyDescent="0.25">
      <c r="A21" s="68"/>
      <c r="B21" s="71"/>
      <c r="C21" s="135" t="s">
        <v>121</v>
      </c>
      <c r="D21" s="155" t="s">
        <v>7</v>
      </c>
      <c r="E21" s="153">
        <v>400</v>
      </c>
      <c r="F21" s="156">
        <v>1.2</v>
      </c>
      <c r="G21" s="156">
        <f t="shared" si="0"/>
        <v>480</v>
      </c>
    </row>
    <row r="22" spans="1:7" x14ac:dyDescent="0.25">
      <c r="A22" s="68"/>
      <c r="B22" s="71"/>
      <c r="C22" s="135" t="s">
        <v>65</v>
      </c>
      <c r="D22" s="155" t="s">
        <v>7</v>
      </c>
      <c r="E22" s="153">
        <v>1</v>
      </c>
      <c r="F22" s="156">
        <v>179</v>
      </c>
      <c r="G22" s="156">
        <f t="shared" si="0"/>
        <v>179</v>
      </c>
    </row>
    <row r="23" spans="1:7" x14ac:dyDescent="0.25">
      <c r="A23" s="68"/>
      <c r="B23" s="71"/>
      <c r="C23" s="135" t="s">
        <v>172</v>
      </c>
      <c r="D23" s="155" t="s">
        <v>7</v>
      </c>
      <c r="E23" s="153">
        <v>300</v>
      </c>
      <c r="F23" s="156">
        <v>1</v>
      </c>
      <c r="G23" s="156">
        <f t="shared" si="0"/>
        <v>300</v>
      </c>
    </row>
    <row r="24" spans="1:7" x14ac:dyDescent="0.25">
      <c r="A24" s="68"/>
      <c r="B24" s="71"/>
      <c r="C24" s="135" t="s">
        <v>174</v>
      </c>
      <c r="D24" s="155" t="s">
        <v>7</v>
      </c>
      <c r="E24" s="153">
        <v>200</v>
      </c>
      <c r="F24" s="156">
        <v>1.5</v>
      </c>
      <c r="G24" s="156">
        <f t="shared" si="0"/>
        <v>300</v>
      </c>
    </row>
    <row r="25" spans="1:7" x14ac:dyDescent="0.25">
      <c r="A25" s="68"/>
      <c r="B25" s="71"/>
      <c r="C25" s="135" t="s">
        <v>177</v>
      </c>
      <c r="D25" s="155" t="s">
        <v>7</v>
      </c>
      <c r="E25" s="153">
        <v>10</v>
      </c>
      <c r="F25" s="156">
        <v>17.5</v>
      </c>
      <c r="G25" s="156">
        <f t="shared" si="0"/>
        <v>175</v>
      </c>
    </row>
    <row r="26" spans="1:7" x14ac:dyDescent="0.25">
      <c r="A26" s="68"/>
      <c r="B26" s="71"/>
      <c r="C26" s="135" t="s">
        <v>226</v>
      </c>
      <c r="D26" s="155" t="s">
        <v>7</v>
      </c>
      <c r="E26" s="153">
        <v>5</v>
      </c>
      <c r="F26" s="156">
        <v>430</v>
      </c>
      <c r="G26" s="156">
        <f t="shared" si="0"/>
        <v>2150</v>
      </c>
    </row>
    <row r="27" spans="1:7" x14ac:dyDescent="0.25">
      <c r="A27" s="68"/>
      <c r="B27" s="71"/>
      <c r="C27" s="135" t="s">
        <v>227</v>
      </c>
      <c r="D27" s="155" t="s">
        <v>7</v>
      </c>
      <c r="E27" s="153">
        <v>52</v>
      </c>
      <c r="F27" s="156">
        <v>670</v>
      </c>
      <c r="G27" s="156">
        <f t="shared" si="0"/>
        <v>34840</v>
      </c>
    </row>
    <row r="28" spans="1:7" x14ac:dyDescent="0.25">
      <c r="A28" s="68"/>
      <c r="B28" s="71"/>
      <c r="C28" s="135" t="s">
        <v>228</v>
      </c>
      <c r="D28" s="155" t="s">
        <v>7</v>
      </c>
      <c r="E28" s="153">
        <v>3</v>
      </c>
      <c r="F28" s="156">
        <v>9800</v>
      </c>
      <c r="G28" s="156">
        <f t="shared" si="0"/>
        <v>29400</v>
      </c>
    </row>
    <row r="29" spans="1:7" x14ac:dyDescent="0.25">
      <c r="A29" s="68"/>
      <c r="B29" s="71"/>
      <c r="C29" s="135" t="s">
        <v>47</v>
      </c>
      <c r="D29" s="155" t="s">
        <v>7</v>
      </c>
      <c r="E29" s="153">
        <v>4</v>
      </c>
      <c r="F29" s="156">
        <v>3250</v>
      </c>
      <c r="G29" s="156">
        <f t="shared" si="0"/>
        <v>13000</v>
      </c>
    </row>
    <row r="30" spans="1:7" x14ac:dyDescent="0.25">
      <c r="A30" s="68"/>
      <c r="B30" s="71"/>
      <c r="C30" s="135" t="s">
        <v>229</v>
      </c>
      <c r="D30" s="155" t="s">
        <v>7</v>
      </c>
      <c r="E30" s="153">
        <v>30</v>
      </c>
      <c r="F30" s="156">
        <v>1485</v>
      </c>
      <c r="G30" s="156">
        <f t="shared" si="0"/>
        <v>44550</v>
      </c>
    </row>
    <row r="31" spans="1:7" x14ac:dyDescent="0.25">
      <c r="A31" s="68"/>
      <c r="B31" s="71"/>
      <c r="C31" s="135" t="s">
        <v>230</v>
      </c>
      <c r="D31" s="155" t="s">
        <v>7</v>
      </c>
      <c r="E31" s="153">
        <v>1</v>
      </c>
      <c r="F31" s="156">
        <v>18900</v>
      </c>
      <c r="G31" s="156">
        <f t="shared" si="0"/>
        <v>18900</v>
      </c>
    </row>
    <row r="32" spans="1:7" x14ac:dyDescent="0.25">
      <c r="A32" s="68"/>
      <c r="B32" s="71"/>
      <c r="C32" s="135" t="s">
        <v>231</v>
      </c>
      <c r="D32" s="155" t="s">
        <v>232</v>
      </c>
      <c r="E32" s="153">
        <v>3</v>
      </c>
      <c r="F32" s="156">
        <v>23105.759999999998</v>
      </c>
      <c r="G32" s="156">
        <f t="shared" si="0"/>
        <v>69317.279999999999</v>
      </c>
    </row>
    <row r="33" spans="1:7" x14ac:dyDescent="0.25">
      <c r="A33" s="68"/>
      <c r="B33" s="71"/>
      <c r="C33" s="135" t="s">
        <v>196</v>
      </c>
      <c r="D33" s="155" t="s">
        <v>124</v>
      </c>
      <c r="E33" s="153" t="s">
        <v>233</v>
      </c>
      <c r="F33" s="156">
        <v>31.8</v>
      </c>
      <c r="G33" s="156">
        <v>540.67999999999995</v>
      </c>
    </row>
    <row r="34" spans="1:7" x14ac:dyDescent="0.25">
      <c r="A34" s="69"/>
      <c r="B34" s="72"/>
      <c r="C34" s="135" t="s">
        <v>196</v>
      </c>
      <c r="D34" s="155" t="s">
        <v>124</v>
      </c>
      <c r="E34" s="153">
        <v>60</v>
      </c>
      <c r="F34" s="156">
        <v>50</v>
      </c>
      <c r="G34" s="156">
        <v>3000</v>
      </c>
    </row>
    <row r="35" spans="1:7" x14ac:dyDescent="0.25">
      <c r="A35" s="123"/>
      <c r="B35" s="123"/>
      <c r="C35" s="136" t="s">
        <v>9</v>
      </c>
      <c r="D35" s="123"/>
      <c r="E35" s="124"/>
      <c r="F35" s="145"/>
      <c r="G35" s="145">
        <f>SUM(G3:G34)</f>
        <v>277009.72000000003</v>
      </c>
    </row>
    <row r="36" spans="1:7" hidden="1" x14ac:dyDescent="0.25">
      <c r="A36" s="125"/>
      <c r="B36" s="125" t="s">
        <v>64</v>
      </c>
      <c r="C36" s="135"/>
      <c r="D36" s="143"/>
      <c r="E36" s="122"/>
      <c r="F36" s="144"/>
      <c r="G36" s="144">
        <f>E36*F36</f>
        <v>0</v>
      </c>
    </row>
    <row r="37" spans="1:7" hidden="1" x14ac:dyDescent="0.25">
      <c r="A37" s="123"/>
      <c r="B37" s="123"/>
      <c r="C37" s="136" t="s">
        <v>9</v>
      </c>
      <c r="D37" s="123"/>
      <c r="E37" s="124"/>
      <c r="F37" s="145"/>
      <c r="G37" s="145">
        <f>SUM(G36)</f>
        <v>0</v>
      </c>
    </row>
    <row r="38" spans="1:7" ht="15" customHeight="1" x14ac:dyDescent="0.25">
      <c r="A38" s="67">
        <v>2</v>
      </c>
      <c r="B38" s="70" t="s">
        <v>22</v>
      </c>
      <c r="C38" s="154" t="s">
        <v>144</v>
      </c>
      <c r="D38" s="155" t="s">
        <v>7</v>
      </c>
      <c r="E38" s="153">
        <v>5</v>
      </c>
      <c r="F38" s="156">
        <v>140</v>
      </c>
      <c r="G38" s="156">
        <f>E38*F38</f>
        <v>700</v>
      </c>
    </row>
    <row r="39" spans="1:7" ht="15" customHeight="1" x14ac:dyDescent="0.25">
      <c r="A39" s="68"/>
      <c r="B39" s="71"/>
      <c r="C39" s="154" t="s">
        <v>112</v>
      </c>
      <c r="D39" s="155" t="s">
        <v>7</v>
      </c>
      <c r="E39" s="153">
        <v>200</v>
      </c>
      <c r="F39" s="156">
        <v>0.55000000000000004</v>
      </c>
      <c r="G39" s="156">
        <f t="shared" ref="G39:G66" si="1">E39*F39</f>
        <v>110.00000000000001</v>
      </c>
    </row>
    <row r="40" spans="1:7" ht="15" customHeight="1" x14ac:dyDescent="0.25">
      <c r="A40" s="68"/>
      <c r="B40" s="71"/>
      <c r="C40" s="154" t="s">
        <v>146</v>
      </c>
      <c r="D40" s="155" t="s">
        <v>7</v>
      </c>
      <c r="E40" s="153">
        <v>400</v>
      </c>
      <c r="F40" s="156">
        <v>1.55</v>
      </c>
      <c r="G40" s="156">
        <f t="shared" si="1"/>
        <v>620</v>
      </c>
    </row>
    <row r="41" spans="1:7" ht="15" customHeight="1" x14ac:dyDescent="0.25">
      <c r="A41" s="68"/>
      <c r="B41" s="71"/>
      <c r="C41" s="154" t="s">
        <v>121</v>
      </c>
      <c r="D41" s="155" t="s">
        <v>7</v>
      </c>
      <c r="E41" s="153">
        <v>400</v>
      </c>
      <c r="F41" s="156">
        <v>0.5</v>
      </c>
      <c r="G41" s="156">
        <f t="shared" si="1"/>
        <v>200</v>
      </c>
    </row>
    <row r="42" spans="1:7" ht="15" customHeight="1" x14ac:dyDescent="0.25">
      <c r="A42" s="68"/>
      <c r="B42" s="71"/>
      <c r="C42" s="154" t="s">
        <v>164</v>
      </c>
      <c r="D42" s="155"/>
      <c r="E42" s="153">
        <v>200</v>
      </c>
      <c r="F42" s="156">
        <v>0.77</v>
      </c>
      <c r="G42" s="156">
        <f t="shared" si="1"/>
        <v>154</v>
      </c>
    </row>
    <row r="43" spans="1:7" ht="15" customHeight="1" x14ac:dyDescent="0.25">
      <c r="A43" s="68"/>
      <c r="B43" s="71"/>
      <c r="C43" s="154" t="s">
        <v>147</v>
      </c>
      <c r="D43" s="155" t="s">
        <v>7</v>
      </c>
      <c r="E43" s="153">
        <v>20</v>
      </c>
      <c r="F43" s="156">
        <v>9.9499999999999993</v>
      </c>
      <c r="G43" s="156">
        <f t="shared" si="1"/>
        <v>199</v>
      </c>
    </row>
    <row r="44" spans="1:7" ht="15" customHeight="1" x14ac:dyDescent="0.25">
      <c r="A44" s="68"/>
      <c r="B44" s="71"/>
      <c r="C44" s="154" t="s">
        <v>148</v>
      </c>
      <c r="D44" s="155" t="s">
        <v>162</v>
      </c>
      <c r="E44" s="153">
        <v>2</v>
      </c>
      <c r="F44" s="156">
        <v>740</v>
      </c>
      <c r="G44" s="156">
        <f t="shared" si="1"/>
        <v>1480</v>
      </c>
    </row>
    <row r="45" spans="1:7" ht="15" customHeight="1" x14ac:dyDescent="0.25">
      <c r="A45" s="68"/>
      <c r="B45" s="71"/>
      <c r="C45" s="154" t="s">
        <v>145</v>
      </c>
      <c r="D45" s="155" t="s">
        <v>7</v>
      </c>
      <c r="E45" s="153">
        <v>1</v>
      </c>
      <c r="F45" s="156">
        <v>1932</v>
      </c>
      <c r="G45" s="156">
        <f t="shared" si="1"/>
        <v>1932</v>
      </c>
    </row>
    <row r="46" spans="1:7" ht="15" customHeight="1" x14ac:dyDescent="0.25">
      <c r="A46" s="68"/>
      <c r="B46" s="71"/>
      <c r="C46" s="154" t="s">
        <v>149</v>
      </c>
      <c r="D46" s="155" t="s">
        <v>7</v>
      </c>
      <c r="E46" s="153">
        <v>20</v>
      </c>
      <c r="F46" s="156">
        <v>252</v>
      </c>
      <c r="G46" s="156">
        <f t="shared" si="1"/>
        <v>5040</v>
      </c>
    </row>
    <row r="47" spans="1:7" ht="15" customHeight="1" x14ac:dyDescent="0.25">
      <c r="A47" s="68"/>
      <c r="B47" s="71"/>
      <c r="C47" s="154" t="s">
        <v>150</v>
      </c>
      <c r="D47" s="155" t="s">
        <v>7</v>
      </c>
      <c r="E47" s="153">
        <v>7</v>
      </c>
      <c r="F47" s="156">
        <v>50</v>
      </c>
      <c r="G47" s="156">
        <f t="shared" si="1"/>
        <v>350</v>
      </c>
    </row>
    <row r="48" spans="1:7" ht="15" customHeight="1" x14ac:dyDescent="0.25">
      <c r="A48" s="68"/>
      <c r="B48" s="71"/>
      <c r="C48" s="154" t="s">
        <v>151</v>
      </c>
      <c r="D48" s="155" t="s">
        <v>7</v>
      </c>
      <c r="E48" s="153">
        <v>1</v>
      </c>
      <c r="F48" s="156">
        <v>170</v>
      </c>
      <c r="G48" s="156">
        <f t="shared" si="1"/>
        <v>170</v>
      </c>
    </row>
    <row r="49" spans="1:7" ht="15" customHeight="1" x14ac:dyDescent="0.25">
      <c r="A49" s="68"/>
      <c r="B49" s="71"/>
      <c r="C49" s="154" t="s">
        <v>56</v>
      </c>
      <c r="D49" s="155" t="s">
        <v>163</v>
      </c>
      <c r="E49" s="153">
        <v>5</v>
      </c>
      <c r="F49" s="156">
        <v>12.3</v>
      </c>
      <c r="G49" s="156">
        <f t="shared" si="1"/>
        <v>61.5</v>
      </c>
    </row>
    <row r="50" spans="1:7" ht="15" customHeight="1" x14ac:dyDescent="0.25">
      <c r="A50" s="68"/>
      <c r="B50" s="71"/>
      <c r="C50" s="154" t="s">
        <v>152</v>
      </c>
      <c r="D50" s="155" t="s">
        <v>163</v>
      </c>
      <c r="E50" s="153">
        <v>5</v>
      </c>
      <c r="F50" s="156">
        <v>99</v>
      </c>
      <c r="G50" s="156">
        <f t="shared" si="1"/>
        <v>495</v>
      </c>
    </row>
    <row r="51" spans="1:7" ht="15" customHeight="1" x14ac:dyDescent="0.25">
      <c r="A51" s="68"/>
      <c r="B51" s="71"/>
      <c r="C51" s="154" t="s">
        <v>108</v>
      </c>
      <c r="D51" s="155" t="s">
        <v>7</v>
      </c>
      <c r="E51" s="153">
        <v>52.5</v>
      </c>
      <c r="F51" s="156">
        <v>15.3</v>
      </c>
      <c r="G51" s="156">
        <f t="shared" si="1"/>
        <v>803.25</v>
      </c>
    </row>
    <row r="52" spans="1:7" x14ac:dyDescent="0.25">
      <c r="A52" s="68"/>
      <c r="B52" s="71"/>
      <c r="C52" s="154" t="s">
        <v>34</v>
      </c>
      <c r="D52" s="155" t="s">
        <v>7</v>
      </c>
      <c r="E52" s="153">
        <v>1</v>
      </c>
      <c r="F52" s="156">
        <v>18</v>
      </c>
      <c r="G52" s="156">
        <f t="shared" si="1"/>
        <v>18</v>
      </c>
    </row>
    <row r="53" spans="1:7" x14ac:dyDescent="0.25">
      <c r="A53" s="68"/>
      <c r="B53" s="71"/>
      <c r="C53" s="154" t="s">
        <v>86</v>
      </c>
      <c r="D53" s="155" t="s">
        <v>7</v>
      </c>
      <c r="E53" s="153">
        <v>3</v>
      </c>
      <c r="F53" s="156">
        <v>10</v>
      </c>
      <c r="G53" s="156">
        <f t="shared" si="1"/>
        <v>30</v>
      </c>
    </row>
    <row r="54" spans="1:7" x14ac:dyDescent="0.25">
      <c r="A54" s="68"/>
      <c r="B54" s="71"/>
      <c r="C54" s="154" t="s">
        <v>14</v>
      </c>
      <c r="D54" s="155" t="s">
        <v>7</v>
      </c>
      <c r="E54" s="153">
        <v>30</v>
      </c>
      <c r="F54" s="156">
        <v>10</v>
      </c>
      <c r="G54" s="156">
        <f t="shared" si="1"/>
        <v>300</v>
      </c>
    </row>
    <row r="55" spans="1:7" x14ac:dyDescent="0.25">
      <c r="A55" s="68"/>
      <c r="B55" s="71"/>
      <c r="C55" s="154" t="s">
        <v>90</v>
      </c>
      <c r="D55" s="155" t="s">
        <v>7</v>
      </c>
      <c r="E55" s="153">
        <v>30</v>
      </c>
      <c r="F55" s="156">
        <v>22.5</v>
      </c>
      <c r="G55" s="156">
        <f t="shared" si="1"/>
        <v>675</v>
      </c>
    </row>
    <row r="56" spans="1:7" x14ac:dyDescent="0.25">
      <c r="A56" s="68"/>
      <c r="B56" s="71"/>
      <c r="C56" s="154" t="s">
        <v>153</v>
      </c>
      <c r="D56" s="155" t="s">
        <v>7</v>
      </c>
      <c r="E56" s="153">
        <v>12</v>
      </c>
      <c r="F56" s="156">
        <v>57</v>
      </c>
      <c r="G56" s="156">
        <f t="shared" si="1"/>
        <v>684</v>
      </c>
    </row>
    <row r="57" spans="1:7" x14ac:dyDescent="0.25">
      <c r="A57" s="68"/>
      <c r="B57" s="71"/>
      <c r="C57" s="154" t="s">
        <v>154</v>
      </c>
      <c r="D57" s="155" t="s">
        <v>7</v>
      </c>
      <c r="E57" s="153">
        <v>1</v>
      </c>
      <c r="F57" s="156">
        <v>648</v>
      </c>
      <c r="G57" s="156">
        <f t="shared" si="1"/>
        <v>648</v>
      </c>
    </row>
    <row r="58" spans="1:7" x14ac:dyDescent="0.25">
      <c r="A58" s="68"/>
      <c r="B58" s="71"/>
      <c r="C58" s="154" t="s">
        <v>155</v>
      </c>
      <c r="D58" s="155" t="s">
        <v>7</v>
      </c>
      <c r="E58" s="153">
        <v>12</v>
      </c>
      <c r="F58" s="156">
        <v>72</v>
      </c>
      <c r="G58" s="156">
        <f t="shared" si="1"/>
        <v>864</v>
      </c>
    </row>
    <row r="59" spans="1:7" x14ac:dyDescent="0.25">
      <c r="A59" s="68"/>
      <c r="B59" s="71"/>
      <c r="C59" s="154" t="s">
        <v>156</v>
      </c>
      <c r="D59" s="155" t="s">
        <v>7</v>
      </c>
      <c r="E59" s="153">
        <v>20</v>
      </c>
      <c r="F59" s="156">
        <v>55</v>
      </c>
      <c r="G59" s="156">
        <f t="shared" si="1"/>
        <v>1100</v>
      </c>
    </row>
    <row r="60" spans="1:7" x14ac:dyDescent="0.25">
      <c r="A60" s="68"/>
      <c r="B60" s="71"/>
      <c r="C60" s="154" t="s">
        <v>157</v>
      </c>
      <c r="D60" s="155" t="s">
        <v>7</v>
      </c>
      <c r="E60" s="153">
        <v>1</v>
      </c>
      <c r="F60" s="156">
        <v>216</v>
      </c>
      <c r="G60" s="156">
        <f t="shared" si="1"/>
        <v>216</v>
      </c>
    </row>
    <row r="61" spans="1:7" x14ac:dyDescent="0.25">
      <c r="A61" s="68"/>
      <c r="B61" s="71"/>
      <c r="C61" s="154" t="s">
        <v>158</v>
      </c>
      <c r="D61" s="155" t="s">
        <v>7</v>
      </c>
      <c r="E61" s="153">
        <v>3</v>
      </c>
      <c r="F61" s="156">
        <v>44</v>
      </c>
      <c r="G61" s="156">
        <f t="shared" si="1"/>
        <v>132</v>
      </c>
    </row>
    <row r="62" spans="1:7" x14ac:dyDescent="0.25">
      <c r="A62" s="68"/>
      <c r="B62" s="71"/>
      <c r="C62" s="154" t="s">
        <v>159</v>
      </c>
      <c r="D62" s="155" t="s">
        <v>7</v>
      </c>
      <c r="E62" s="153">
        <v>10</v>
      </c>
      <c r="F62" s="156">
        <v>129</v>
      </c>
      <c r="G62" s="156">
        <f t="shared" si="1"/>
        <v>1290</v>
      </c>
    </row>
    <row r="63" spans="1:7" x14ac:dyDescent="0.25">
      <c r="A63" s="68"/>
      <c r="B63" s="71"/>
      <c r="C63" s="154" t="s">
        <v>53</v>
      </c>
      <c r="D63" s="155" t="s">
        <v>7</v>
      </c>
      <c r="E63" s="153">
        <v>5</v>
      </c>
      <c r="F63" s="156">
        <v>59</v>
      </c>
      <c r="G63" s="156">
        <f t="shared" si="1"/>
        <v>295</v>
      </c>
    </row>
    <row r="64" spans="1:7" x14ac:dyDescent="0.25">
      <c r="A64" s="68"/>
      <c r="B64" s="71"/>
      <c r="C64" s="154" t="s">
        <v>94</v>
      </c>
      <c r="D64" s="155" t="s">
        <v>7</v>
      </c>
      <c r="E64" s="153">
        <v>10</v>
      </c>
      <c r="F64" s="156">
        <v>17.899999999999999</v>
      </c>
      <c r="G64" s="156">
        <f t="shared" si="1"/>
        <v>179</v>
      </c>
    </row>
    <row r="65" spans="1:7" x14ac:dyDescent="0.25">
      <c r="A65" s="68"/>
      <c r="B65" s="71"/>
      <c r="C65" s="154" t="s">
        <v>160</v>
      </c>
      <c r="D65" s="155" t="s">
        <v>7</v>
      </c>
      <c r="E65" s="153">
        <v>5</v>
      </c>
      <c r="F65" s="156">
        <v>470</v>
      </c>
      <c r="G65" s="156">
        <f t="shared" si="1"/>
        <v>2350</v>
      </c>
    </row>
    <row r="66" spans="1:7" x14ac:dyDescent="0.25">
      <c r="A66" s="68"/>
      <c r="B66" s="71"/>
      <c r="C66" s="154" t="s">
        <v>161</v>
      </c>
      <c r="D66" s="155" t="s">
        <v>7</v>
      </c>
      <c r="E66" s="153">
        <v>5</v>
      </c>
      <c r="F66" s="156">
        <v>34.75</v>
      </c>
      <c r="G66" s="156">
        <f t="shared" si="1"/>
        <v>173.75</v>
      </c>
    </row>
    <row r="67" spans="1:7" ht="15" customHeight="1" x14ac:dyDescent="0.25">
      <c r="A67" s="68"/>
      <c r="B67" s="71"/>
      <c r="C67" s="154" t="s">
        <v>181</v>
      </c>
      <c r="D67" s="155" t="s">
        <v>7</v>
      </c>
      <c r="E67" s="153">
        <v>4</v>
      </c>
      <c r="F67" s="156">
        <v>682.4</v>
      </c>
      <c r="G67" s="156">
        <f>E67*F67</f>
        <v>2729.6</v>
      </c>
    </row>
    <row r="68" spans="1:7" ht="15" customHeight="1" x14ac:dyDescent="0.25">
      <c r="A68" s="68"/>
      <c r="B68" s="71"/>
      <c r="C68" s="154" t="s">
        <v>143</v>
      </c>
      <c r="D68" s="155" t="s">
        <v>7</v>
      </c>
      <c r="E68" s="153">
        <v>1</v>
      </c>
      <c r="F68" s="156">
        <v>5046.66</v>
      </c>
      <c r="G68" s="156">
        <f>E68*F68</f>
        <v>5046.66</v>
      </c>
    </row>
    <row r="69" spans="1:7" ht="15" customHeight="1" x14ac:dyDescent="0.25">
      <c r="A69" s="68"/>
      <c r="B69" s="71"/>
      <c r="C69" s="154" t="s">
        <v>234</v>
      </c>
      <c r="D69" s="155" t="s">
        <v>7</v>
      </c>
      <c r="E69" s="153">
        <v>1</v>
      </c>
      <c r="F69" s="156">
        <v>1974.78</v>
      </c>
      <c r="G69" s="156">
        <f>E69*F69</f>
        <v>1974.78</v>
      </c>
    </row>
    <row r="70" spans="1:7" ht="15" customHeight="1" x14ac:dyDescent="0.25">
      <c r="A70" s="68"/>
      <c r="B70" s="71"/>
      <c r="C70" s="154" t="s">
        <v>85</v>
      </c>
      <c r="D70" s="155" t="s">
        <v>7</v>
      </c>
      <c r="E70" s="153">
        <v>30</v>
      </c>
      <c r="F70" s="156">
        <v>1073</v>
      </c>
      <c r="G70" s="156">
        <f>E70*F70</f>
        <v>32190</v>
      </c>
    </row>
    <row r="71" spans="1:7" ht="15" customHeight="1" x14ac:dyDescent="0.25">
      <c r="A71" s="68"/>
      <c r="B71" s="71"/>
      <c r="C71" s="154" t="s">
        <v>126</v>
      </c>
      <c r="D71" s="155" t="s">
        <v>76</v>
      </c>
      <c r="E71" s="153">
        <v>64</v>
      </c>
      <c r="F71" s="156">
        <v>50</v>
      </c>
      <c r="G71" s="156">
        <f>E71*F71</f>
        <v>3200</v>
      </c>
    </row>
    <row r="72" spans="1:7" ht="15" customHeight="1" x14ac:dyDescent="0.25">
      <c r="A72" s="69"/>
      <c r="B72" s="72"/>
      <c r="C72" s="164" t="s">
        <v>109</v>
      </c>
      <c r="D72" s="155"/>
      <c r="E72" s="153">
        <v>16</v>
      </c>
      <c r="F72" s="156"/>
      <c r="G72" s="156">
        <v>556</v>
      </c>
    </row>
    <row r="73" spans="1:7" x14ac:dyDescent="0.25">
      <c r="A73" s="123"/>
      <c r="B73" s="123"/>
      <c r="C73" s="136" t="s">
        <v>9</v>
      </c>
      <c r="D73" s="123"/>
      <c r="E73" s="124"/>
      <c r="F73" s="145"/>
      <c r="G73" s="145">
        <f>SUM(G38:G72)</f>
        <v>66966.539999999994</v>
      </c>
    </row>
    <row r="74" spans="1:7" x14ac:dyDescent="0.25">
      <c r="A74" s="67">
        <v>3</v>
      </c>
      <c r="B74" s="70" t="s">
        <v>24</v>
      </c>
      <c r="C74" s="135" t="s">
        <v>165</v>
      </c>
      <c r="D74" s="155" t="s">
        <v>7</v>
      </c>
      <c r="E74" s="153">
        <v>1</v>
      </c>
      <c r="F74" s="156">
        <v>1974.78</v>
      </c>
      <c r="G74" s="156">
        <f>E74*F74</f>
        <v>1974.78</v>
      </c>
    </row>
    <row r="75" spans="1:7" x14ac:dyDescent="0.25">
      <c r="A75" s="68"/>
      <c r="B75" s="71"/>
      <c r="C75" s="135" t="s">
        <v>166</v>
      </c>
      <c r="D75" s="155" t="s">
        <v>7</v>
      </c>
      <c r="E75" s="153">
        <v>288</v>
      </c>
      <c r="F75" s="156">
        <v>210</v>
      </c>
      <c r="G75" s="156">
        <f t="shared" ref="G75:G76" si="2">E75*F75</f>
        <v>60480</v>
      </c>
    </row>
    <row r="76" spans="1:7" x14ac:dyDescent="0.25">
      <c r="A76" s="68"/>
      <c r="B76" s="71"/>
      <c r="C76" s="135" t="s">
        <v>167</v>
      </c>
      <c r="D76" s="155" t="s">
        <v>7</v>
      </c>
      <c r="E76" s="153">
        <v>288</v>
      </c>
      <c r="F76" s="156">
        <v>70</v>
      </c>
      <c r="G76" s="156">
        <f t="shared" si="2"/>
        <v>20160</v>
      </c>
    </row>
    <row r="77" spans="1:7" x14ac:dyDescent="0.25">
      <c r="A77" s="68"/>
      <c r="B77" s="71"/>
      <c r="C77" s="135" t="s">
        <v>168</v>
      </c>
      <c r="D77" s="155" t="s">
        <v>7</v>
      </c>
      <c r="E77" s="153">
        <v>288</v>
      </c>
      <c r="F77" s="156">
        <v>250</v>
      </c>
      <c r="G77" s="156">
        <f>E77*F77</f>
        <v>72000</v>
      </c>
    </row>
    <row r="78" spans="1:7" ht="33" customHeight="1" x14ac:dyDescent="0.25">
      <c r="A78" s="69"/>
      <c r="B78" s="72"/>
      <c r="C78" s="165" t="s">
        <v>169</v>
      </c>
      <c r="D78" s="155" t="s">
        <v>7</v>
      </c>
      <c r="E78" s="153">
        <v>88</v>
      </c>
      <c r="F78" s="156">
        <v>1610</v>
      </c>
      <c r="G78" s="156">
        <f>E78*F78</f>
        <v>141680</v>
      </c>
    </row>
    <row r="79" spans="1:7" x14ac:dyDescent="0.25">
      <c r="A79" s="123"/>
      <c r="B79" s="123"/>
      <c r="C79" s="136" t="s">
        <v>9</v>
      </c>
      <c r="D79" s="123"/>
      <c r="E79" s="124"/>
      <c r="F79" s="145"/>
      <c r="G79" s="145">
        <f>SUM(G74:G78)</f>
        <v>296294.78000000003</v>
      </c>
    </row>
    <row r="80" spans="1:7" ht="26.25" x14ac:dyDescent="0.25">
      <c r="A80" s="125">
        <v>4</v>
      </c>
      <c r="B80" s="65" t="s">
        <v>25</v>
      </c>
      <c r="C80" s="135" t="s">
        <v>143</v>
      </c>
      <c r="D80" s="143" t="s">
        <v>7</v>
      </c>
      <c r="E80" s="122">
        <v>2</v>
      </c>
      <c r="F80" s="144">
        <v>5046.66</v>
      </c>
      <c r="G80" s="144">
        <f>E80*F80</f>
        <v>10093.32</v>
      </c>
    </row>
    <row r="81" spans="1:7" x14ac:dyDescent="0.25">
      <c r="A81" s="123"/>
      <c r="B81" s="123"/>
      <c r="C81" s="136" t="s">
        <v>9</v>
      </c>
      <c r="D81" s="123"/>
      <c r="E81" s="124"/>
      <c r="F81" s="145"/>
      <c r="G81" s="145">
        <f>SUM(G80)</f>
        <v>10093.32</v>
      </c>
    </row>
    <row r="82" spans="1:7" hidden="1" x14ac:dyDescent="0.25">
      <c r="A82" s="125"/>
      <c r="B82" s="125" t="s">
        <v>26</v>
      </c>
      <c r="C82" s="135"/>
      <c r="D82" s="143"/>
      <c r="E82" s="122"/>
      <c r="F82" s="144"/>
      <c r="G82" s="144">
        <f>E82*F82</f>
        <v>0</v>
      </c>
    </row>
    <row r="83" spans="1:7" hidden="1" x14ac:dyDescent="0.25">
      <c r="A83" s="123"/>
      <c r="B83" s="123"/>
      <c r="C83" s="136" t="s">
        <v>9</v>
      </c>
      <c r="D83" s="123"/>
      <c r="E83" s="124"/>
      <c r="F83" s="145"/>
      <c r="G83" s="145">
        <f>SUM(G82)</f>
        <v>0</v>
      </c>
    </row>
    <row r="84" spans="1:7" x14ac:dyDescent="0.25">
      <c r="A84" s="73">
        <v>5</v>
      </c>
      <c r="B84" s="76" t="s">
        <v>45</v>
      </c>
      <c r="C84" s="154" t="s">
        <v>158</v>
      </c>
      <c r="D84" s="155" t="s">
        <v>7</v>
      </c>
      <c r="E84" s="153">
        <v>4</v>
      </c>
      <c r="F84" s="156">
        <v>200</v>
      </c>
      <c r="G84" s="156">
        <f t="shared" ref="G84:G110" si="3">E84*F84</f>
        <v>800</v>
      </c>
    </row>
    <row r="85" spans="1:7" x14ac:dyDescent="0.25">
      <c r="A85" s="74"/>
      <c r="B85" s="77"/>
      <c r="C85" s="154" t="s">
        <v>94</v>
      </c>
      <c r="D85" s="155" t="s">
        <v>7</v>
      </c>
      <c r="E85" s="153">
        <v>10</v>
      </c>
      <c r="F85" s="156">
        <v>12</v>
      </c>
      <c r="G85" s="156">
        <f t="shared" si="3"/>
        <v>120</v>
      </c>
    </row>
    <row r="86" spans="1:7" x14ac:dyDescent="0.25">
      <c r="A86" s="74"/>
      <c r="B86" s="77"/>
      <c r="C86" s="154" t="s">
        <v>170</v>
      </c>
      <c r="D86" s="155" t="s">
        <v>7</v>
      </c>
      <c r="E86" s="153">
        <v>8</v>
      </c>
      <c r="F86" s="156">
        <v>50</v>
      </c>
      <c r="G86" s="156">
        <f t="shared" si="3"/>
        <v>400</v>
      </c>
    </row>
    <row r="87" spans="1:7" x14ac:dyDescent="0.25">
      <c r="A87" s="74"/>
      <c r="B87" s="77"/>
      <c r="C87" s="154" t="s">
        <v>121</v>
      </c>
      <c r="D87" s="155" t="s">
        <v>7</v>
      </c>
      <c r="E87" s="153">
        <v>400</v>
      </c>
      <c r="F87" s="156">
        <v>0.85</v>
      </c>
      <c r="G87" s="156">
        <f t="shared" si="3"/>
        <v>340</v>
      </c>
    </row>
    <row r="88" spans="1:7" x14ac:dyDescent="0.25">
      <c r="A88" s="74"/>
      <c r="B88" s="77"/>
      <c r="C88" s="154" t="s">
        <v>34</v>
      </c>
      <c r="D88" s="155" t="s">
        <v>7</v>
      </c>
      <c r="E88" s="153">
        <v>11</v>
      </c>
      <c r="F88" s="156">
        <v>10</v>
      </c>
      <c r="G88" s="156">
        <f t="shared" si="3"/>
        <v>110</v>
      </c>
    </row>
    <row r="89" spans="1:7" x14ac:dyDescent="0.25">
      <c r="A89" s="74"/>
      <c r="B89" s="77"/>
      <c r="C89" s="154" t="s">
        <v>65</v>
      </c>
      <c r="D89" s="155" t="s">
        <v>7</v>
      </c>
      <c r="E89" s="153">
        <v>1</v>
      </c>
      <c r="F89" s="156">
        <v>200</v>
      </c>
      <c r="G89" s="156">
        <f t="shared" si="3"/>
        <v>200</v>
      </c>
    </row>
    <row r="90" spans="1:7" x14ac:dyDescent="0.25">
      <c r="A90" s="74"/>
      <c r="B90" s="77"/>
      <c r="C90" s="154" t="s">
        <v>171</v>
      </c>
      <c r="D90" s="155" t="s">
        <v>7</v>
      </c>
      <c r="E90" s="153">
        <v>2</v>
      </c>
      <c r="F90" s="156">
        <v>98</v>
      </c>
      <c r="G90" s="156">
        <f t="shared" si="3"/>
        <v>196</v>
      </c>
    </row>
    <row r="91" spans="1:7" x14ac:dyDescent="0.25">
      <c r="A91" s="74"/>
      <c r="B91" s="77"/>
      <c r="C91" s="154" t="s">
        <v>172</v>
      </c>
      <c r="D91" s="155" t="s">
        <v>7</v>
      </c>
      <c r="E91" s="153">
        <v>300</v>
      </c>
      <c r="F91" s="156">
        <v>0.5</v>
      </c>
      <c r="G91" s="156">
        <f t="shared" si="3"/>
        <v>150</v>
      </c>
    </row>
    <row r="92" spans="1:7" x14ac:dyDescent="0.25">
      <c r="A92" s="74"/>
      <c r="B92" s="77"/>
      <c r="C92" s="154" t="s">
        <v>173</v>
      </c>
      <c r="D92" s="155" t="s">
        <v>7</v>
      </c>
      <c r="E92" s="153">
        <v>10</v>
      </c>
      <c r="F92" s="156">
        <v>45</v>
      </c>
      <c r="G92" s="156">
        <f t="shared" si="3"/>
        <v>450</v>
      </c>
    </row>
    <row r="93" spans="1:7" x14ac:dyDescent="0.25">
      <c r="A93" s="74"/>
      <c r="B93" s="77"/>
      <c r="C93" s="154" t="s">
        <v>174</v>
      </c>
      <c r="D93" s="155" t="s">
        <v>7</v>
      </c>
      <c r="E93" s="153">
        <v>200</v>
      </c>
      <c r="F93" s="156">
        <v>0.65</v>
      </c>
      <c r="G93" s="156">
        <f t="shared" si="3"/>
        <v>130</v>
      </c>
    </row>
    <row r="94" spans="1:7" x14ac:dyDescent="0.25">
      <c r="A94" s="74"/>
      <c r="B94" s="77"/>
      <c r="C94" s="154" t="s">
        <v>95</v>
      </c>
      <c r="D94" s="155" t="s">
        <v>7</v>
      </c>
      <c r="E94" s="153">
        <v>30</v>
      </c>
      <c r="F94" s="156">
        <v>22.8</v>
      </c>
      <c r="G94" s="156">
        <f t="shared" si="3"/>
        <v>684</v>
      </c>
    </row>
    <row r="95" spans="1:7" x14ac:dyDescent="0.25">
      <c r="A95" s="74"/>
      <c r="B95" s="77"/>
      <c r="C95" s="154" t="s">
        <v>175</v>
      </c>
      <c r="D95" s="155" t="s">
        <v>7</v>
      </c>
      <c r="E95" s="153">
        <v>24</v>
      </c>
      <c r="F95" s="156">
        <v>10</v>
      </c>
      <c r="G95" s="156">
        <f t="shared" si="3"/>
        <v>240</v>
      </c>
    </row>
    <row r="96" spans="1:7" x14ac:dyDescent="0.25">
      <c r="A96" s="74"/>
      <c r="B96" s="77"/>
      <c r="C96" s="154" t="s">
        <v>114</v>
      </c>
      <c r="D96" s="155" t="s">
        <v>7</v>
      </c>
      <c r="E96" s="153">
        <v>5</v>
      </c>
      <c r="F96" s="156">
        <v>79</v>
      </c>
      <c r="G96" s="156">
        <f t="shared" si="3"/>
        <v>395</v>
      </c>
    </row>
    <row r="97" spans="1:7" x14ac:dyDescent="0.25">
      <c r="A97" s="74"/>
      <c r="B97" s="77"/>
      <c r="C97" s="154" t="s">
        <v>176</v>
      </c>
      <c r="D97" s="155" t="s">
        <v>7</v>
      </c>
      <c r="E97" s="153">
        <v>25</v>
      </c>
      <c r="F97" s="156">
        <v>24</v>
      </c>
      <c r="G97" s="156">
        <f t="shared" si="3"/>
        <v>600</v>
      </c>
    </row>
    <row r="98" spans="1:7" x14ac:dyDescent="0.25">
      <c r="A98" s="74"/>
      <c r="B98" s="77"/>
      <c r="C98" s="154" t="s">
        <v>177</v>
      </c>
      <c r="D98" s="155" t="s">
        <v>7</v>
      </c>
      <c r="E98" s="153">
        <v>10</v>
      </c>
      <c r="F98" s="156">
        <v>10</v>
      </c>
      <c r="G98" s="156">
        <f t="shared" si="3"/>
        <v>100</v>
      </c>
    </row>
    <row r="99" spans="1:7" x14ac:dyDescent="0.25">
      <c r="A99" s="74"/>
      <c r="B99" s="77"/>
      <c r="C99" s="154" t="s">
        <v>178</v>
      </c>
      <c r="D99" s="155" t="s">
        <v>7</v>
      </c>
      <c r="E99" s="153">
        <v>10</v>
      </c>
      <c r="F99" s="156">
        <v>33.25</v>
      </c>
      <c r="G99" s="156">
        <f t="shared" si="3"/>
        <v>332.5</v>
      </c>
    </row>
    <row r="100" spans="1:7" x14ac:dyDescent="0.25">
      <c r="A100" s="74"/>
      <c r="B100" s="77"/>
      <c r="C100" s="154" t="s">
        <v>179</v>
      </c>
      <c r="D100" s="155" t="s">
        <v>7</v>
      </c>
      <c r="E100" s="153">
        <v>5</v>
      </c>
      <c r="F100" s="156">
        <v>300</v>
      </c>
      <c r="G100" s="156">
        <f t="shared" si="3"/>
        <v>1500</v>
      </c>
    </row>
    <row r="101" spans="1:7" x14ac:dyDescent="0.25">
      <c r="A101" s="74"/>
      <c r="B101" s="77"/>
      <c r="C101" s="154" t="s">
        <v>180</v>
      </c>
      <c r="D101" s="155" t="s">
        <v>7</v>
      </c>
      <c r="E101" s="153">
        <v>1</v>
      </c>
      <c r="F101" s="156">
        <v>79</v>
      </c>
      <c r="G101" s="156">
        <f t="shared" si="3"/>
        <v>79</v>
      </c>
    </row>
    <row r="102" spans="1:7" x14ac:dyDescent="0.25">
      <c r="A102" s="74"/>
      <c r="B102" s="77"/>
      <c r="C102" s="154" t="s">
        <v>143</v>
      </c>
      <c r="D102" s="155" t="s">
        <v>7</v>
      </c>
      <c r="E102" s="153">
        <v>1</v>
      </c>
      <c r="F102" s="156">
        <v>5046.66</v>
      </c>
      <c r="G102" s="156">
        <f t="shared" si="3"/>
        <v>5046.66</v>
      </c>
    </row>
    <row r="103" spans="1:7" x14ac:dyDescent="0.25">
      <c r="A103" s="74"/>
      <c r="B103" s="77"/>
      <c r="C103" s="154" t="s">
        <v>181</v>
      </c>
      <c r="D103" s="155" t="s">
        <v>7</v>
      </c>
      <c r="E103" s="153">
        <v>3</v>
      </c>
      <c r="F103" s="156">
        <v>682.4</v>
      </c>
      <c r="G103" s="156">
        <f t="shared" si="3"/>
        <v>2047.1999999999998</v>
      </c>
    </row>
    <row r="104" spans="1:7" x14ac:dyDescent="0.25">
      <c r="A104" s="74"/>
      <c r="B104" s="77"/>
      <c r="C104" s="154" t="s">
        <v>85</v>
      </c>
      <c r="D104" s="155" t="s">
        <v>7</v>
      </c>
      <c r="E104" s="153">
        <v>30</v>
      </c>
      <c r="F104" s="156">
        <v>1073</v>
      </c>
      <c r="G104" s="156">
        <f t="shared" si="3"/>
        <v>32190</v>
      </c>
    </row>
    <row r="105" spans="1:7" x14ac:dyDescent="0.25">
      <c r="A105" s="74"/>
      <c r="B105" s="77"/>
      <c r="C105" s="154" t="s">
        <v>165</v>
      </c>
      <c r="D105" s="155" t="s">
        <v>7</v>
      </c>
      <c r="E105" s="153">
        <v>1</v>
      </c>
      <c r="F105" s="156">
        <v>1974.78</v>
      </c>
      <c r="G105" s="156">
        <f t="shared" si="3"/>
        <v>1974.78</v>
      </c>
    </row>
    <row r="106" spans="1:7" x14ac:dyDescent="0.25">
      <c r="A106" s="74"/>
      <c r="B106" s="77"/>
      <c r="C106" s="154" t="s">
        <v>83</v>
      </c>
      <c r="D106" s="155" t="s">
        <v>7</v>
      </c>
      <c r="E106" s="153">
        <v>12</v>
      </c>
      <c r="F106" s="156">
        <v>75</v>
      </c>
      <c r="G106" s="156">
        <f t="shared" si="3"/>
        <v>900</v>
      </c>
    </row>
    <row r="107" spans="1:7" x14ac:dyDescent="0.25">
      <c r="A107" s="74"/>
      <c r="B107" s="77"/>
      <c r="C107" s="154" t="s">
        <v>235</v>
      </c>
      <c r="D107" s="155" t="s">
        <v>7</v>
      </c>
      <c r="E107" s="153">
        <v>12</v>
      </c>
      <c r="F107" s="156">
        <v>70</v>
      </c>
      <c r="G107" s="156">
        <f t="shared" si="3"/>
        <v>840</v>
      </c>
    </row>
    <row r="108" spans="1:7" x14ac:dyDescent="0.25">
      <c r="A108" s="74"/>
      <c r="B108" s="77"/>
      <c r="C108" s="154" t="s">
        <v>82</v>
      </c>
      <c r="D108" s="155" t="s">
        <v>7</v>
      </c>
      <c r="E108" s="153">
        <v>2</v>
      </c>
      <c r="F108" s="156">
        <v>80</v>
      </c>
      <c r="G108" s="156">
        <f t="shared" si="3"/>
        <v>160</v>
      </c>
    </row>
    <row r="109" spans="1:7" x14ac:dyDescent="0.25">
      <c r="A109" s="74"/>
      <c r="B109" s="77"/>
      <c r="C109" s="154" t="s">
        <v>236</v>
      </c>
      <c r="D109" s="155" t="s">
        <v>7</v>
      </c>
      <c r="E109" s="153">
        <v>2</v>
      </c>
      <c r="F109" s="156">
        <v>450</v>
      </c>
      <c r="G109" s="156">
        <f t="shared" si="3"/>
        <v>900</v>
      </c>
    </row>
    <row r="110" spans="1:7" x14ac:dyDescent="0.25">
      <c r="A110" s="74"/>
      <c r="B110" s="77"/>
      <c r="C110" s="154" t="s">
        <v>237</v>
      </c>
      <c r="D110" s="155" t="s">
        <v>7</v>
      </c>
      <c r="E110" s="153">
        <v>2</v>
      </c>
      <c r="F110" s="156">
        <v>3900</v>
      </c>
      <c r="G110" s="156">
        <f t="shared" si="3"/>
        <v>7800</v>
      </c>
    </row>
    <row r="111" spans="1:7" x14ac:dyDescent="0.25">
      <c r="A111" s="74"/>
      <c r="B111" s="77"/>
      <c r="C111" s="154" t="s">
        <v>238</v>
      </c>
      <c r="D111" s="155" t="s">
        <v>30</v>
      </c>
      <c r="E111" s="153">
        <f>36+10+4+4+4</f>
        <v>58</v>
      </c>
      <c r="F111" s="156"/>
      <c r="G111" s="156">
        <f>3060+650+400+360+600</f>
        <v>5070</v>
      </c>
    </row>
    <row r="112" spans="1:7" x14ac:dyDescent="0.25">
      <c r="A112" s="74"/>
      <c r="B112" s="77"/>
      <c r="C112" s="154" t="s">
        <v>239</v>
      </c>
      <c r="D112" s="155" t="s">
        <v>7</v>
      </c>
      <c r="E112" s="153">
        <v>3</v>
      </c>
      <c r="F112" s="156">
        <v>85</v>
      </c>
      <c r="G112" s="156">
        <f t="shared" ref="G112:G144" si="4">E112*F112</f>
        <v>255</v>
      </c>
    </row>
    <row r="113" spans="1:7" x14ac:dyDescent="0.25">
      <c r="A113" s="74"/>
      <c r="B113" s="77"/>
      <c r="C113" s="154" t="s">
        <v>240</v>
      </c>
      <c r="D113" s="155" t="s">
        <v>7</v>
      </c>
      <c r="E113" s="153">
        <v>2</v>
      </c>
      <c r="F113" s="156">
        <v>160</v>
      </c>
      <c r="G113" s="156">
        <f t="shared" si="4"/>
        <v>320</v>
      </c>
    </row>
    <row r="114" spans="1:7" x14ac:dyDescent="0.25">
      <c r="A114" s="74"/>
      <c r="B114" s="77"/>
      <c r="C114" s="154" t="s">
        <v>241</v>
      </c>
      <c r="D114" s="155" t="s">
        <v>162</v>
      </c>
      <c r="E114" s="153">
        <v>2</v>
      </c>
      <c r="F114" s="156">
        <v>900</v>
      </c>
      <c r="G114" s="156">
        <f t="shared" si="4"/>
        <v>1800</v>
      </c>
    </row>
    <row r="115" spans="1:7" x14ac:dyDescent="0.25">
      <c r="A115" s="74"/>
      <c r="B115" s="77"/>
      <c r="C115" s="154" t="s">
        <v>77</v>
      </c>
      <c r="D115" s="155" t="s">
        <v>7</v>
      </c>
      <c r="E115" s="153">
        <v>2</v>
      </c>
      <c r="F115" s="156">
        <v>140</v>
      </c>
      <c r="G115" s="156">
        <f t="shared" si="4"/>
        <v>280</v>
      </c>
    </row>
    <row r="116" spans="1:7" x14ac:dyDescent="0.25">
      <c r="A116" s="74"/>
      <c r="B116" s="77"/>
      <c r="C116" s="154" t="s">
        <v>242</v>
      </c>
      <c r="D116" s="155" t="s">
        <v>7</v>
      </c>
      <c r="E116" s="153">
        <v>4</v>
      </c>
      <c r="F116" s="156">
        <v>55</v>
      </c>
      <c r="G116" s="156">
        <f t="shared" si="4"/>
        <v>220</v>
      </c>
    </row>
    <row r="117" spans="1:7" x14ac:dyDescent="0.25">
      <c r="A117" s="74"/>
      <c r="B117" s="77"/>
      <c r="C117" s="154" t="s">
        <v>243</v>
      </c>
      <c r="D117" s="155" t="s">
        <v>7</v>
      </c>
      <c r="E117" s="153">
        <v>15</v>
      </c>
      <c r="F117" s="156">
        <v>55</v>
      </c>
      <c r="G117" s="156">
        <f t="shared" si="4"/>
        <v>825</v>
      </c>
    </row>
    <row r="118" spans="1:7" x14ac:dyDescent="0.25">
      <c r="A118" s="74"/>
      <c r="B118" s="77"/>
      <c r="C118" s="154" t="s">
        <v>244</v>
      </c>
      <c r="D118" s="155" t="s">
        <v>7</v>
      </c>
      <c r="E118" s="153">
        <v>2</v>
      </c>
      <c r="F118" s="156">
        <v>205</v>
      </c>
      <c r="G118" s="156">
        <f t="shared" si="4"/>
        <v>410</v>
      </c>
    </row>
    <row r="119" spans="1:7" x14ac:dyDescent="0.25">
      <c r="A119" s="74"/>
      <c r="B119" s="77"/>
      <c r="C119" s="154" t="s">
        <v>245</v>
      </c>
      <c r="D119" s="155" t="s">
        <v>7</v>
      </c>
      <c r="E119" s="153">
        <v>10</v>
      </c>
      <c r="F119" s="156">
        <v>35</v>
      </c>
      <c r="G119" s="156">
        <f t="shared" si="4"/>
        <v>350</v>
      </c>
    </row>
    <row r="120" spans="1:7" x14ac:dyDescent="0.25">
      <c r="A120" s="74"/>
      <c r="B120" s="77"/>
      <c r="C120" s="154" t="s">
        <v>246</v>
      </c>
      <c r="D120" s="155" t="s">
        <v>7</v>
      </c>
      <c r="E120" s="153">
        <v>3</v>
      </c>
      <c r="F120" s="156">
        <v>450</v>
      </c>
      <c r="G120" s="156">
        <f t="shared" si="4"/>
        <v>1350</v>
      </c>
    </row>
    <row r="121" spans="1:7" x14ac:dyDescent="0.25">
      <c r="A121" s="74"/>
      <c r="B121" s="77"/>
      <c r="C121" s="154" t="s">
        <v>247</v>
      </c>
      <c r="D121" s="155" t="s">
        <v>7</v>
      </c>
      <c r="E121" s="153">
        <v>10</v>
      </c>
      <c r="F121" s="156">
        <v>150</v>
      </c>
      <c r="G121" s="156">
        <f t="shared" si="4"/>
        <v>1500</v>
      </c>
    </row>
    <row r="122" spans="1:7" x14ac:dyDescent="0.25">
      <c r="A122" s="74"/>
      <c r="B122" s="77"/>
      <c r="C122" s="154" t="s">
        <v>78</v>
      </c>
      <c r="D122" s="155" t="s">
        <v>7</v>
      </c>
      <c r="E122" s="153">
        <v>1</v>
      </c>
      <c r="F122" s="156">
        <v>250</v>
      </c>
      <c r="G122" s="156">
        <f t="shared" si="4"/>
        <v>250</v>
      </c>
    </row>
    <row r="123" spans="1:7" x14ac:dyDescent="0.25">
      <c r="A123" s="74"/>
      <c r="B123" s="77"/>
      <c r="C123" s="154" t="s">
        <v>248</v>
      </c>
      <c r="D123" s="155" t="s">
        <v>7</v>
      </c>
      <c r="E123" s="153">
        <v>10</v>
      </c>
      <c r="F123" s="156">
        <v>36</v>
      </c>
      <c r="G123" s="156">
        <f t="shared" si="4"/>
        <v>360</v>
      </c>
    </row>
    <row r="124" spans="1:7" x14ac:dyDescent="0.25">
      <c r="A124" s="74"/>
      <c r="B124" s="77"/>
      <c r="C124" s="154" t="s">
        <v>259</v>
      </c>
      <c r="D124" s="155" t="s">
        <v>7</v>
      </c>
      <c r="E124" s="153">
        <v>6</v>
      </c>
      <c r="F124" s="156">
        <v>98</v>
      </c>
      <c r="G124" s="156">
        <f t="shared" si="4"/>
        <v>588</v>
      </c>
    </row>
    <row r="125" spans="1:7" x14ac:dyDescent="0.25">
      <c r="A125" s="74"/>
      <c r="B125" s="77"/>
      <c r="C125" s="154" t="s">
        <v>258</v>
      </c>
      <c r="D125" s="155" t="s">
        <v>7</v>
      </c>
      <c r="E125" s="153">
        <v>20</v>
      </c>
      <c r="F125" s="156">
        <v>12</v>
      </c>
      <c r="G125" s="156">
        <f t="shared" si="4"/>
        <v>240</v>
      </c>
    </row>
    <row r="126" spans="1:7" x14ac:dyDescent="0.25">
      <c r="A126" s="74"/>
      <c r="B126" s="77"/>
      <c r="C126" s="154" t="s">
        <v>249</v>
      </c>
      <c r="D126" s="155" t="s">
        <v>7</v>
      </c>
      <c r="E126" s="153">
        <v>5</v>
      </c>
      <c r="F126" s="156">
        <v>45</v>
      </c>
      <c r="G126" s="156">
        <f t="shared" si="4"/>
        <v>225</v>
      </c>
    </row>
    <row r="127" spans="1:7" x14ac:dyDescent="0.25">
      <c r="A127" s="74"/>
      <c r="B127" s="77"/>
      <c r="C127" s="154" t="s">
        <v>250</v>
      </c>
      <c r="D127" s="155" t="s">
        <v>7</v>
      </c>
      <c r="E127" s="153">
        <v>4</v>
      </c>
      <c r="F127" s="156">
        <v>300</v>
      </c>
      <c r="G127" s="156">
        <f t="shared" si="4"/>
        <v>1200</v>
      </c>
    </row>
    <row r="128" spans="1:7" x14ac:dyDescent="0.25">
      <c r="A128" s="74"/>
      <c r="B128" s="77"/>
      <c r="C128" s="154" t="s">
        <v>251</v>
      </c>
      <c r="D128" s="155" t="s">
        <v>76</v>
      </c>
      <c r="E128" s="153">
        <v>1</v>
      </c>
      <c r="F128" s="156">
        <v>150</v>
      </c>
      <c r="G128" s="156">
        <f t="shared" si="4"/>
        <v>150</v>
      </c>
    </row>
    <row r="129" spans="1:7" x14ac:dyDescent="0.25">
      <c r="A129" s="74"/>
      <c r="B129" s="77"/>
      <c r="C129" s="154" t="s">
        <v>252</v>
      </c>
      <c r="D129" s="155" t="s">
        <v>76</v>
      </c>
      <c r="E129" s="153">
        <v>3</v>
      </c>
      <c r="F129" s="156">
        <v>150</v>
      </c>
      <c r="G129" s="156">
        <f t="shared" si="4"/>
        <v>450</v>
      </c>
    </row>
    <row r="130" spans="1:7" x14ac:dyDescent="0.25">
      <c r="A130" s="74"/>
      <c r="B130" s="77"/>
      <c r="C130" s="154" t="s">
        <v>28</v>
      </c>
      <c r="D130" s="155" t="s">
        <v>19</v>
      </c>
      <c r="E130" s="153">
        <v>400</v>
      </c>
      <c r="F130" s="156">
        <v>6.5</v>
      </c>
      <c r="G130" s="156">
        <f t="shared" si="4"/>
        <v>2600</v>
      </c>
    </row>
    <row r="131" spans="1:7" x14ac:dyDescent="0.25">
      <c r="A131" s="74"/>
      <c r="B131" s="77"/>
      <c r="C131" s="154" t="s">
        <v>253</v>
      </c>
      <c r="D131" s="155" t="s">
        <v>19</v>
      </c>
      <c r="E131" s="153">
        <v>40</v>
      </c>
      <c r="F131" s="156">
        <v>24.5</v>
      </c>
      <c r="G131" s="156">
        <f t="shared" si="4"/>
        <v>980</v>
      </c>
    </row>
    <row r="132" spans="1:7" x14ac:dyDescent="0.25">
      <c r="A132" s="74"/>
      <c r="B132" s="77"/>
      <c r="C132" s="154" t="s">
        <v>254</v>
      </c>
      <c r="D132" s="155" t="s">
        <v>7</v>
      </c>
      <c r="E132" s="153">
        <v>5</v>
      </c>
      <c r="F132" s="156">
        <v>400</v>
      </c>
      <c r="G132" s="156">
        <f t="shared" si="4"/>
        <v>2000</v>
      </c>
    </row>
    <row r="133" spans="1:7" x14ac:dyDescent="0.25">
      <c r="A133" s="74"/>
      <c r="B133" s="77"/>
      <c r="C133" s="154" t="s">
        <v>255</v>
      </c>
      <c r="D133" s="155" t="s">
        <v>30</v>
      </c>
      <c r="E133" s="153">
        <v>30</v>
      </c>
      <c r="F133" s="156">
        <v>16.100000000000001</v>
      </c>
      <c r="G133" s="156">
        <f t="shared" si="4"/>
        <v>483.00000000000006</v>
      </c>
    </row>
    <row r="134" spans="1:7" x14ac:dyDescent="0.25">
      <c r="A134" s="74"/>
      <c r="B134" s="77"/>
      <c r="C134" s="154" t="s">
        <v>256</v>
      </c>
      <c r="D134" s="155" t="s">
        <v>30</v>
      </c>
      <c r="E134" s="153">
        <v>20</v>
      </c>
      <c r="F134" s="156">
        <v>10</v>
      </c>
      <c r="G134" s="156">
        <f t="shared" si="4"/>
        <v>200</v>
      </c>
    </row>
    <row r="135" spans="1:7" x14ac:dyDescent="0.25">
      <c r="A135" s="74"/>
      <c r="B135" s="77"/>
      <c r="C135" s="154" t="s">
        <v>257</v>
      </c>
      <c r="D135" s="155" t="s">
        <v>163</v>
      </c>
      <c r="E135" s="153">
        <v>1</v>
      </c>
      <c r="F135" s="156">
        <v>550</v>
      </c>
      <c r="G135" s="156">
        <f t="shared" si="4"/>
        <v>550</v>
      </c>
    </row>
    <row r="136" spans="1:7" x14ac:dyDescent="0.25">
      <c r="A136" s="74"/>
      <c r="B136" s="77"/>
      <c r="C136" s="154" t="s">
        <v>79</v>
      </c>
      <c r="D136" s="155" t="s">
        <v>7</v>
      </c>
      <c r="E136" s="153">
        <v>5</v>
      </c>
      <c r="F136" s="156">
        <v>110</v>
      </c>
      <c r="G136" s="156">
        <f t="shared" si="4"/>
        <v>550</v>
      </c>
    </row>
    <row r="137" spans="1:7" x14ac:dyDescent="0.25">
      <c r="A137" s="74"/>
      <c r="B137" s="77"/>
      <c r="C137" s="154" t="s">
        <v>260</v>
      </c>
      <c r="D137" s="155" t="s">
        <v>7</v>
      </c>
      <c r="E137" s="153">
        <v>10</v>
      </c>
      <c r="F137" s="156">
        <v>55.9</v>
      </c>
      <c r="G137" s="156">
        <f t="shared" si="4"/>
        <v>559</v>
      </c>
    </row>
    <row r="138" spans="1:7" x14ac:dyDescent="0.25">
      <c r="A138" s="74"/>
      <c r="B138" s="77"/>
      <c r="C138" s="154" t="s">
        <v>261</v>
      </c>
      <c r="D138" s="155" t="s">
        <v>7</v>
      </c>
      <c r="E138" s="153">
        <v>5</v>
      </c>
      <c r="F138" s="156">
        <v>47.8</v>
      </c>
      <c r="G138" s="156">
        <f t="shared" si="4"/>
        <v>239</v>
      </c>
    </row>
    <row r="139" spans="1:7" x14ac:dyDescent="0.25">
      <c r="A139" s="74"/>
      <c r="B139" s="77"/>
      <c r="C139" s="154" t="s">
        <v>262</v>
      </c>
      <c r="D139" s="155" t="s">
        <v>7</v>
      </c>
      <c r="E139" s="153">
        <v>6</v>
      </c>
      <c r="F139" s="156">
        <v>65</v>
      </c>
      <c r="G139" s="156">
        <f t="shared" si="4"/>
        <v>390</v>
      </c>
    </row>
    <row r="140" spans="1:7" x14ac:dyDescent="0.25">
      <c r="A140" s="74"/>
      <c r="B140" s="77"/>
      <c r="C140" s="154" t="s">
        <v>263</v>
      </c>
      <c r="D140" s="155" t="s">
        <v>7</v>
      </c>
      <c r="E140" s="153">
        <v>5</v>
      </c>
      <c r="F140" s="156">
        <v>57.6</v>
      </c>
      <c r="G140" s="156">
        <f t="shared" si="4"/>
        <v>288</v>
      </c>
    </row>
    <row r="141" spans="1:7" x14ac:dyDescent="0.25">
      <c r="A141" s="74"/>
      <c r="B141" s="77"/>
      <c r="C141" s="154" t="s">
        <v>264</v>
      </c>
      <c r="D141" s="155" t="s">
        <v>163</v>
      </c>
      <c r="E141" s="153">
        <v>1</v>
      </c>
      <c r="F141" s="156">
        <v>54</v>
      </c>
      <c r="G141" s="156">
        <f t="shared" si="4"/>
        <v>54</v>
      </c>
    </row>
    <row r="142" spans="1:7" x14ac:dyDescent="0.25">
      <c r="A142" s="74"/>
      <c r="B142" s="77"/>
      <c r="C142" s="154" t="s">
        <v>265</v>
      </c>
      <c r="D142" s="155" t="s">
        <v>30</v>
      </c>
      <c r="E142" s="153">
        <v>50</v>
      </c>
      <c r="F142" s="156">
        <v>40</v>
      </c>
      <c r="G142" s="156">
        <f t="shared" si="4"/>
        <v>2000</v>
      </c>
    </row>
    <row r="143" spans="1:7" x14ac:dyDescent="0.25">
      <c r="A143" s="74"/>
      <c r="B143" s="77"/>
      <c r="C143" s="154" t="s">
        <v>266</v>
      </c>
      <c r="D143" s="155" t="s">
        <v>7</v>
      </c>
      <c r="E143" s="153">
        <v>1</v>
      </c>
      <c r="F143" s="156">
        <v>220</v>
      </c>
      <c r="G143" s="156">
        <f t="shared" si="4"/>
        <v>220</v>
      </c>
    </row>
    <row r="144" spans="1:7" x14ac:dyDescent="0.25">
      <c r="A144" s="74"/>
      <c r="B144" s="77"/>
      <c r="C144" s="154" t="s">
        <v>267</v>
      </c>
      <c r="D144" s="155" t="s">
        <v>7</v>
      </c>
      <c r="E144" s="153">
        <v>2</v>
      </c>
      <c r="F144" s="156">
        <v>700</v>
      </c>
      <c r="G144" s="156">
        <f t="shared" si="4"/>
        <v>1400</v>
      </c>
    </row>
    <row r="145" spans="1:7" x14ac:dyDescent="0.25">
      <c r="A145" s="75"/>
      <c r="B145" s="78"/>
      <c r="C145" s="154" t="s">
        <v>123</v>
      </c>
      <c r="D145" s="155" t="s">
        <v>76</v>
      </c>
      <c r="E145" s="153">
        <v>55.55</v>
      </c>
      <c r="F145" s="156">
        <v>54</v>
      </c>
      <c r="G145" s="156">
        <v>3000</v>
      </c>
    </row>
    <row r="146" spans="1:7" x14ac:dyDescent="0.25">
      <c r="A146" s="123"/>
      <c r="B146" s="123"/>
      <c r="C146" s="136" t="s">
        <v>9</v>
      </c>
      <c r="D146" s="123"/>
      <c r="E146" s="124"/>
      <c r="F146" s="145"/>
      <c r="G146" s="145">
        <f>SUM(G84:G145)</f>
        <v>90041.14</v>
      </c>
    </row>
    <row r="147" spans="1:7" x14ac:dyDescent="0.25">
      <c r="A147" s="67">
        <v>6</v>
      </c>
      <c r="B147" s="70" t="s">
        <v>27</v>
      </c>
      <c r="C147" s="135" t="s">
        <v>85</v>
      </c>
      <c r="D147" s="155" t="s">
        <v>7</v>
      </c>
      <c r="E147" s="153">
        <v>30</v>
      </c>
      <c r="F147" s="156">
        <v>1073</v>
      </c>
      <c r="G147" s="156">
        <f t="shared" ref="G147:G150" si="5">E147*F147</f>
        <v>32190</v>
      </c>
    </row>
    <row r="148" spans="1:7" x14ac:dyDescent="0.25">
      <c r="A148" s="68"/>
      <c r="B148" s="71"/>
      <c r="C148" s="135" t="s">
        <v>143</v>
      </c>
      <c r="D148" s="155" t="s">
        <v>7</v>
      </c>
      <c r="E148" s="153">
        <v>1</v>
      </c>
      <c r="F148" s="156">
        <v>5046.66</v>
      </c>
      <c r="G148" s="156">
        <f t="shared" si="5"/>
        <v>5046.66</v>
      </c>
    </row>
    <row r="149" spans="1:7" x14ac:dyDescent="0.25">
      <c r="A149" s="68"/>
      <c r="B149" s="71"/>
      <c r="C149" s="135" t="s">
        <v>181</v>
      </c>
      <c r="D149" s="155" t="s">
        <v>7</v>
      </c>
      <c r="E149" s="153">
        <v>4</v>
      </c>
      <c r="F149" s="156">
        <v>682.4</v>
      </c>
      <c r="G149" s="156">
        <f t="shared" si="5"/>
        <v>2729.6</v>
      </c>
    </row>
    <row r="150" spans="1:7" x14ac:dyDescent="0.25">
      <c r="A150" s="68"/>
      <c r="B150" s="71"/>
      <c r="C150" s="135" t="s">
        <v>165</v>
      </c>
      <c r="D150" s="155" t="s">
        <v>7</v>
      </c>
      <c r="E150" s="153">
        <v>1</v>
      </c>
      <c r="F150" s="156">
        <v>1974.78</v>
      </c>
      <c r="G150" s="156">
        <f t="shared" si="5"/>
        <v>1974.78</v>
      </c>
    </row>
    <row r="151" spans="1:7" x14ac:dyDescent="0.25">
      <c r="A151" s="68"/>
      <c r="B151" s="71"/>
      <c r="C151" s="135" t="s">
        <v>182</v>
      </c>
      <c r="D151" s="155" t="s">
        <v>7</v>
      </c>
      <c r="E151" s="153">
        <v>60</v>
      </c>
      <c r="F151" s="157">
        <v>53.332999999999998</v>
      </c>
      <c r="G151" s="156">
        <v>3200</v>
      </c>
    </row>
    <row r="152" spans="1:7" x14ac:dyDescent="0.25">
      <c r="A152" s="68"/>
      <c r="B152" s="71"/>
      <c r="C152" s="135" t="s">
        <v>268</v>
      </c>
      <c r="D152" s="155" t="s">
        <v>7</v>
      </c>
      <c r="E152" s="153">
        <v>5</v>
      </c>
      <c r="F152" s="157">
        <v>50</v>
      </c>
      <c r="G152" s="156">
        <v>250</v>
      </c>
    </row>
    <row r="153" spans="1:7" x14ac:dyDescent="0.25">
      <c r="A153" s="68"/>
      <c r="B153" s="71"/>
      <c r="C153" s="135" t="s">
        <v>161</v>
      </c>
      <c r="D153" s="155" t="s">
        <v>7</v>
      </c>
      <c r="E153" s="153">
        <v>5</v>
      </c>
      <c r="F153" s="157">
        <v>10</v>
      </c>
      <c r="G153" s="156">
        <v>50</v>
      </c>
    </row>
    <row r="154" spans="1:7" x14ac:dyDescent="0.25">
      <c r="A154" s="68"/>
      <c r="B154" s="71"/>
      <c r="C154" s="135" t="s">
        <v>172</v>
      </c>
      <c r="D154" s="155" t="s">
        <v>7</v>
      </c>
      <c r="E154" s="153">
        <v>200</v>
      </c>
      <c r="F154" s="156">
        <v>0.6</v>
      </c>
      <c r="G154" s="156">
        <v>120</v>
      </c>
    </row>
    <row r="155" spans="1:7" x14ac:dyDescent="0.25">
      <c r="A155" s="68"/>
      <c r="B155" s="71"/>
      <c r="C155" s="135" t="s">
        <v>203</v>
      </c>
      <c r="D155" s="155" t="s">
        <v>7</v>
      </c>
      <c r="E155" s="153">
        <v>400</v>
      </c>
      <c r="F155" s="156">
        <v>0.5</v>
      </c>
      <c r="G155" s="156">
        <v>200</v>
      </c>
    </row>
    <row r="156" spans="1:7" x14ac:dyDescent="0.25">
      <c r="A156" s="68"/>
      <c r="B156" s="71"/>
      <c r="C156" s="135" t="s">
        <v>121</v>
      </c>
      <c r="D156" s="155" t="s">
        <v>7</v>
      </c>
      <c r="E156" s="153">
        <v>200</v>
      </c>
      <c r="F156" s="156">
        <v>0.5</v>
      </c>
      <c r="G156" s="156">
        <v>100</v>
      </c>
    </row>
    <row r="157" spans="1:7" x14ac:dyDescent="0.25">
      <c r="A157" s="68"/>
      <c r="B157" s="71"/>
      <c r="C157" s="135" t="s">
        <v>164</v>
      </c>
      <c r="D157" s="155" t="s">
        <v>7</v>
      </c>
      <c r="E157" s="153">
        <v>200</v>
      </c>
      <c r="F157" s="156">
        <v>1</v>
      </c>
      <c r="G157" s="156">
        <v>200</v>
      </c>
    </row>
    <row r="158" spans="1:7" x14ac:dyDescent="0.25">
      <c r="A158" s="68"/>
      <c r="B158" s="71"/>
      <c r="C158" s="135" t="s">
        <v>147</v>
      </c>
      <c r="D158" s="155" t="s">
        <v>7</v>
      </c>
      <c r="E158" s="153">
        <v>20</v>
      </c>
      <c r="F158" s="156">
        <v>5</v>
      </c>
      <c r="G158" s="156">
        <v>100</v>
      </c>
    </row>
    <row r="159" spans="1:7" x14ac:dyDescent="0.25">
      <c r="A159" s="68"/>
      <c r="B159" s="71"/>
      <c r="C159" s="135" t="s">
        <v>219</v>
      </c>
      <c r="D159" s="155" t="s">
        <v>7</v>
      </c>
      <c r="E159" s="153">
        <v>2</v>
      </c>
      <c r="F159" s="156">
        <v>600</v>
      </c>
      <c r="G159" s="156">
        <v>1200</v>
      </c>
    </row>
    <row r="160" spans="1:7" x14ac:dyDescent="0.25">
      <c r="A160" s="68"/>
      <c r="B160" s="71"/>
      <c r="C160" s="135" t="s">
        <v>269</v>
      </c>
      <c r="D160" s="155" t="s">
        <v>7</v>
      </c>
      <c r="E160" s="153">
        <v>1</v>
      </c>
      <c r="F160" s="156">
        <v>800</v>
      </c>
      <c r="G160" s="156">
        <v>800</v>
      </c>
    </row>
    <row r="161" spans="1:7" x14ac:dyDescent="0.25">
      <c r="A161" s="68"/>
      <c r="B161" s="71"/>
      <c r="C161" s="135" t="s">
        <v>149</v>
      </c>
      <c r="D161" s="155" t="s">
        <v>7</v>
      </c>
      <c r="E161" s="153">
        <v>20</v>
      </c>
      <c r="F161" s="156">
        <v>250</v>
      </c>
      <c r="G161" s="156">
        <v>5000</v>
      </c>
    </row>
    <row r="162" spans="1:7" x14ac:dyDescent="0.25">
      <c r="A162" s="68"/>
      <c r="B162" s="71"/>
      <c r="C162" s="135" t="s">
        <v>59</v>
      </c>
      <c r="D162" s="155" t="s">
        <v>7</v>
      </c>
      <c r="E162" s="153">
        <v>7</v>
      </c>
      <c r="F162" s="156">
        <v>100</v>
      </c>
      <c r="G162" s="156">
        <v>700</v>
      </c>
    </row>
    <row r="163" spans="1:7" x14ac:dyDescent="0.25">
      <c r="A163" s="68"/>
      <c r="B163" s="71"/>
      <c r="C163" s="135" t="s">
        <v>270</v>
      </c>
      <c r="D163" s="155" t="s">
        <v>7</v>
      </c>
      <c r="E163" s="153">
        <v>1</v>
      </c>
      <c r="F163" s="156">
        <v>350</v>
      </c>
      <c r="G163" s="156">
        <v>350</v>
      </c>
    </row>
    <row r="164" spans="1:7" x14ac:dyDescent="0.25">
      <c r="A164" s="68"/>
      <c r="B164" s="71"/>
      <c r="C164" s="135" t="s">
        <v>56</v>
      </c>
      <c r="D164" s="155" t="s">
        <v>7</v>
      </c>
      <c r="E164" s="153">
        <v>5</v>
      </c>
      <c r="F164" s="156">
        <v>20</v>
      </c>
      <c r="G164" s="156">
        <v>100</v>
      </c>
    </row>
    <row r="165" spans="1:7" x14ac:dyDescent="0.25">
      <c r="A165" s="68"/>
      <c r="B165" s="71"/>
      <c r="C165" s="135" t="s">
        <v>152</v>
      </c>
      <c r="D165" s="155" t="s">
        <v>7</v>
      </c>
      <c r="E165" s="153">
        <v>5</v>
      </c>
      <c r="F165" s="156">
        <v>25</v>
      </c>
      <c r="G165" s="156">
        <v>125</v>
      </c>
    </row>
    <row r="166" spans="1:7" x14ac:dyDescent="0.25">
      <c r="A166" s="68"/>
      <c r="B166" s="71"/>
      <c r="C166" s="135" t="s">
        <v>271</v>
      </c>
      <c r="D166" s="155" t="s">
        <v>7</v>
      </c>
      <c r="E166" s="153">
        <v>52.5</v>
      </c>
      <c r="F166" s="156">
        <v>10</v>
      </c>
      <c r="G166" s="156">
        <v>525</v>
      </c>
    </row>
    <row r="167" spans="1:7" x14ac:dyDescent="0.25">
      <c r="A167" s="68"/>
      <c r="B167" s="71"/>
      <c r="C167" s="135" t="s">
        <v>34</v>
      </c>
      <c r="D167" s="155" t="s">
        <v>7</v>
      </c>
      <c r="E167" s="153">
        <v>1</v>
      </c>
      <c r="F167" s="156">
        <v>20</v>
      </c>
      <c r="G167" s="156">
        <v>20</v>
      </c>
    </row>
    <row r="168" spans="1:7" x14ac:dyDescent="0.25">
      <c r="A168" s="68"/>
      <c r="B168" s="71"/>
      <c r="C168" s="135" t="s">
        <v>86</v>
      </c>
      <c r="D168" s="155" t="s">
        <v>7</v>
      </c>
      <c r="E168" s="153">
        <v>3</v>
      </c>
      <c r="F168" s="156">
        <v>15</v>
      </c>
      <c r="G168" s="156">
        <v>45</v>
      </c>
    </row>
    <row r="169" spans="1:7" x14ac:dyDescent="0.25">
      <c r="A169" s="68"/>
      <c r="B169" s="71"/>
      <c r="C169" s="135" t="s">
        <v>14</v>
      </c>
      <c r="D169" s="155" t="s">
        <v>7</v>
      </c>
      <c r="E169" s="153">
        <v>30</v>
      </c>
      <c r="F169" s="156">
        <v>10</v>
      </c>
      <c r="G169" s="156">
        <v>300</v>
      </c>
    </row>
    <row r="170" spans="1:7" x14ac:dyDescent="0.25">
      <c r="A170" s="68"/>
      <c r="B170" s="71"/>
      <c r="C170" s="135" t="s">
        <v>90</v>
      </c>
      <c r="D170" s="155" t="s">
        <v>7</v>
      </c>
      <c r="E170" s="153">
        <v>30</v>
      </c>
      <c r="F170" s="156">
        <v>15</v>
      </c>
      <c r="G170" s="156">
        <v>450</v>
      </c>
    </row>
    <row r="171" spans="1:7" x14ac:dyDescent="0.25">
      <c r="A171" s="68"/>
      <c r="B171" s="71"/>
      <c r="C171" s="135" t="s">
        <v>153</v>
      </c>
      <c r="D171" s="155" t="s">
        <v>7</v>
      </c>
      <c r="E171" s="153">
        <v>12</v>
      </c>
      <c r="F171" s="156">
        <v>40</v>
      </c>
      <c r="G171" s="156">
        <v>480</v>
      </c>
    </row>
    <row r="172" spans="1:7" x14ac:dyDescent="0.25">
      <c r="A172" s="68"/>
      <c r="B172" s="71"/>
      <c r="C172" s="135" t="s">
        <v>154</v>
      </c>
      <c r="D172" s="155" t="s">
        <v>7</v>
      </c>
      <c r="E172" s="153">
        <v>1</v>
      </c>
      <c r="F172" s="156">
        <v>500</v>
      </c>
      <c r="G172" s="156">
        <v>500</v>
      </c>
    </row>
    <row r="173" spans="1:7" x14ac:dyDescent="0.25">
      <c r="A173" s="68"/>
      <c r="B173" s="71"/>
      <c r="C173" s="135" t="s">
        <v>222</v>
      </c>
      <c r="D173" s="155" t="s">
        <v>7</v>
      </c>
      <c r="E173" s="153">
        <v>12</v>
      </c>
      <c r="F173" s="156">
        <v>50</v>
      </c>
      <c r="G173" s="156">
        <v>600</v>
      </c>
    </row>
    <row r="174" spans="1:7" x14ac:dyDescent="0.25">
      <c r="A174" s="68"/>
      <c r="B174" s="71"/>
      <c r="C174" s="135" t="s">
        <v>204</v>
      </c>
      <c r="D174" s="155" t="s">
        <v>7</v>
      </c>
      <c r="E174" s="153">
        <v>12</v>
      </c>
      <c r="F174" s="156">
        <v>50</v>
      </c>
      <c r="G174" s="156">
        <v>600</v>
      </c>
    </row>
    <row r="175" spans="1:7" x14ac:dyDescent="0.25">
      <c r="A175" s="68"/>
      <c r="B175" s="71"/>
      <c r="C175" s="135" t="s">
        <v>156</v>
      </c>
      <c r="D175" s="155" t="s">
        <v>7</v>
      </c>
      <c r="E175" s="153">
        <v>20</v>
      </c>
      <c r="F175" s="156">
        <v>60</v>
      </c>
      <c r="G175" s="156">
        <v>1200</v>
      </c>
    </row>
    <row r="176" spans="1:7" x14ac:dyDescent="0.25">
      <c r="A176" s="68"/>
      <c r="B176" s="71"/>
      <c r="C176" s="135" t="s">
        <v>157</v>
      </c>
      <c r="D176" s="155" t="s">
        <v>7</v>
      </c>
      <c r="E176" s="153">
        <v>1</v>
      </c>
      <c r="F176" s="156">
        <v>200</v>
      </c>
      <c r="G176" s="156">
        <v>200</v>
      </c>
    </row>
    <row r="177" spans="1:7" x14ac:dyDescent="0.25">
      <c r="A177" s="68"/>
      <c r="B177" s="71"/>
      <c r="C177" s="135" t="s">
        <v>158</v>
      </c>
      <c r="D177" s="155" t="s">
        <v>7</v>
      </c>
      <c r="E177" s="153">
        <v>3</v>
      </c>
      <c r="F177" s="156">
        <v>300</v>
      </c>
      <c r="G177" s="156">
        <v>900</v>
      </c>
    </row>
    <row r="178" spans="1:7" x14ac:dyDescent="0.25">
      <c r="A178" s="68"/>
      <c r="B178" s="71"/>
      <c r="C178" s="135" t="s">
        <v>223</v>
      </c>
      <c r="D178" s="155" t="s">
        <v>7</v>
      </c>
      <c r="E178" s="153">
        <v>10</v>
      </c>
      <c r="F178" s="156">
        <v>50</v>
      </c>
      <c r="G178" s="156">
        <v>500</v>
      </c>
    </row>
    <row r="179" spans="1:7" x14ac:dyDescent="0.25">
      <c r="A179" s="68"/>
      <c r="B179" s="71"/>
      <c r="C179" s="135" t="s">
        <v>94</v>
      </c>
      <c r="D179" s="155" t="s">
        <v>7</v>
      </c>
      <c r="E179" s="153">
        <v>10</v>
      </c>
      <c r="F179" s="156">
        <v>25</v>
      </c>
      <c r="G179" s="156">
        <v>250</v>
      </c>
    </row>
    <row r="180" spans="1:7" x14ac:dyDescent="0.25">
      <c r="A180" s="68"/>
      <c r="B180" s="71"/>
      <c r="C180" s="135" t="s">
        <v>160</v>
      </c>
      <c r="D180" s="155" t="s">
        <v>7</v>
      </c>
      <c r="E180" s="153">
        <v>5</v>
      </c>
      <c r="F180" s="156">
        <v>278</v>
      </c>
      <c r="G180" s="156">
        <v>1390</v>
      </c>
    </row>
    <row r="181" spans="1:7" x14ac:dyDescent="0.25">
      <c r="A181" s="68"/>
      <c r="B181" s="71"/>
      <c r="C181" s="135" t="s">
        <v>109</v>
      </c>
      <c r="D181" s="155" t="s">
        <v>7</v>
      </c>
      <c r="E181" s="153">
        <v>20</v>
      </c>
      <c r="F181" s="157">
        <v>10</v>
      </c>
      <c r="G181" s="156">
        <v>200</v>
      </c>
    </row>
    <row r="182" spans="1:7" x14ac:dyDescent="0.25">
      <c r="A182" s="69"/>
      <c r="B182" s="72"/>
      <c r="C182" s="135" t="s">
        <v>57</v>
      </c>
      <c r="D182" s="155" t="s">
        <v>87</v>
      </c>
      <c r="E182" s="153">
        <v>7</v>
      </c>
      <c r="F182" s="157">
        <v>35</v>
      </c>
      <c r="G182" s="156">
        <v>245</v>
      </c>
    </row>
    <row r="183" spans="1:7" x14ac:dyDescent="0.25">
      <c r="A183" s="123"/>
      <c r="B183" s="123"/>
      <c r="C183" s="136" t="s">
        <v>9</v>
      </c>
      <c r="D183" s="123"/>
      <c r="E183" s="124"/>
      <c r="F183" s="145"/>
      <c r="G183" s="145">
        <f>SUM(G147:G182)</f>
        <v>62841.04</v>
      </c>
    </row>
    <row r="184" spans="1:7" ht="26.25" x14ac:dyDescent="0.25">
      <c r="A184" s="125">
        <v>7</v>
      </c>
      <c r="B184" s="65" t="s">
        <v>29</v>
      </c>
      <c r="C184" s="135" t="s">
        <v>143</v>
      </c>
      <c r="D184" s="143" t="s">
        <v>7</v>
      </c>
      <c r="E184" s="122">
        <v>2</v>
      </c>
      <c r="F184" s="144">
        <v>5046.66</v>
      </c>
      <c r="G184" s="156">
        <f>E184*F184</f>
        <v>10093.32</v>
      </c>
    </row>
    <row r="185" spans="1:7" x14ac:dyDescent="0.25">
      <c r="A185" s="123"/>
      <c r="B185" s="123"/>
      <c r="C185" s="136" t="s">
        <v>9</v>
      </c>
      <c r="D185" s="123"/>
      <c r="E185" s="124"/>
      <c r="F185" s="145"/>
      <c r="G185" s="145">
        <f>SUM(G184)</f>
        <v>10093.32</v>
      </c>
    </row>
    <row r="186" spans="1:7" hidden="1" x14ac:dyDescent="0.25">
      <c r="A186" s="125"/>
      <c r="B186" s="125" t="s">
        <v>32</v>
      </c>
      <c r="C186" s="135"/>
      <c r="D186" s="143"/>
      <c r="E186" s="122"/>
      <c r="F186" s="144"/>
      <c r="G186" s="144">
        <f>E186*F186</f>
        <v>0</v>
      </c>
    </row>
    <row r="187" spans="1:7" hidden="1" x14ac:dyDescent="0.25">
      <c r="A187" s="123"/>
      <c r="B187" s="123"/>
      <c r="C187" s="136" t="s">
        <v>9</v>
      </c>
      <c r="D187" s="123"/>
      <c r="E187" s="124"/>
      <c r="F187" s="145"/>
      <c r="G187" s="145">
        <f>SUM(G186)</f>
        <v>0</v>
      </c>
    </row>
    <row r="188" spans="1:7" hidden="1" x14ac:dyDescent="0.25">
      <c r="A188" s="125"/>
      <c r="B188" s="125" t="s">
        <v>69</v>
      </c>
      <c r="C188" s="135"/>
      <c r="D188" s="143"/>
      <c r="E188" s="122"/>
      <c r="F188" s="144"/>
      <c r="G188" s="144">
        <f>E188*F188</f>
        <v>0</v>
      </c>
    </row>
    <row r="189" spans="1:7" hidden="1" x14ac:dyDescent="0.25">
      <c r="A189" s="123"/>
      <c r="B189" s="123"/>
      <c r="C189" s="136" t="s">
        <v>9</v>
      </c>
      <c r="D189" s="123"/>
      <c r="E189" s="124"/>
      <c r="F189" s="145"/>
      <c r="G189" s="145">
        <f>SUM(G188)</f>
        <v>0</v>
      </c>
    </row>
    <row r="190" spans="1:7" x14ac:dyDescent="0.25">
      <c r="A190" s="67">
        <v>8</v>
      </c>
      <c r="B190" s="70" t="s">
        <v>33</v>
      </c>
      <c r="C190" s="135" t="s">
        <v>183</v>
      </c>
      <c r="D190" s="143" t="s">
        <v>7</v>
      </c>
      <c r="E190" s="122">
        <v>1</v>
      </c>
      <c r="F190" s="144">
        <v>11160.69</v>
      </c>
      <c r="G190" s="156">
        <f>E190*F190</f>
        <v>11160.69</v>
      </c>
    </row>
    <row r="191" spans="1:7" x14ac:dyDescent="0.25">
      <c r="A191" s="68"/>
      <c r="B191" s="71"/>
      <c r="C191" s="135" t="s">
        <v>165</v>
      </c>
      <c r="D191" s="143" t="s">
        <v>7</v>
      </c>
      <c r="E191" s="122">
        <v>3</v>
      </c>
      <c r="F191" s="144">
        <v>1974.78</v>
      </c>
      <c r="G191" s="156">
        <f t="shared" ref="G191:G208" si="6">E191*F191</f>
        <v>5924.34</v>
      </c>
    </row>
    <row r="192" spans="1:7" x14ac:dyDescent="0.25">
      <c r="A192" s="68"/>
      <c r="B192" s="71"/>
      <c r="C192" s="135" t="s">
        <v>85</v>
      </c>
      <c r="D192" s="143" t="s">
        <v>7</v>
      </c>
      <c r="E192" s="122">
        <v>30</v>
      </c>
      <c r="F192" s="144">
        <v>1073</v>
      </c>
      <c r="G192" s="156">
        <f t="shared" si="6"/>
        <v>32190</v>
      </c>
    </row>
    <row r="193" spans="1:7" x14ac:dyDescent="0.25">
      <c r="A193" s="68"/>
      <c r="B193" s="71"/>
      <c r="C193" s="135" t="s">
        <v>143</v>
      </c>
      <c r="D193" s="143" t="s">
        <v>7</v>
      </c>
      <c r="E193" s="122">
        <v>2</v>
      </c>
      <c r="F193" s="144">
        <v>5046.66</v>
      </c>
      <c r="G193" s="156">
        <f t="shared" si="6"/>
        <v>10093.32</v>
      </c>
    </row>
    <row r="194" spans="1:7" x14ac:dyDescent="0.25">
      <c r="A194" s="68"/>
      <c r="B194" s="71"/>
      <c r="C194" s="135" t="s">
        <v>181</v>
      </c>
      <c r="D194" s="143" t="s">
        <v>7</v>
      </c>
      <c r="E194" s="122">
        <v>4</v>
      </c>
      <c r="F194" s="144">
        <v>682.4</v>
      </c>
      <c r="G194" s="156">
        <f t="shared" si="6"/>
        <v>2729.6</v>
      </c>
    </row>
    <row r="195" spans="1:7" x14ac:dyDescent="0.25">
      <c r="A195" s="68"/>
      <c r="B195" s="71"/>
      <c r="C195" s="135" t="s">
        <v>95</v>
      </c>
      <c r="D195" s="143" t="s">
        <v>7</v>
      </c>
      <c r="E195" s="122">
        <v>30</v>
      </c>
      <c r="F195" s="144">
        <v>30</v>
      </c>
      <c r="G195" s="156">
        <f t="shared" si="6"/>
        <v>900</v>
      </c>
    </row>
    <row r="196" spans="1:7" x14ac:dyDescent="0.25">
      <c r="A196" s="68"/>
      <c r="B196" s="71"/>
      <c r="C196" s="135" t="s">
        <v>14</v>
      </c>
      <c r="D196" s="143" t="s">
        <v>7</v>
      </c>
      <c r="E196" s="122">
        <v>33</v>
      </c>
      <c r="F196" s="144">
        <v>8</v>
      </c>
      <c r="G196" s="156">
        <f t="shared" si="6"/>
        <v>264</v>
      </c>
    </row>
    <row r="197" spans="1:7" x14ac:dyDescent="0.25">
      <c r="A197" s="68"/>
      <c r="B197" s="71"/>
      <c r="C197" s="135" t="s">
        <v>121</v>
      </c>
      <c r="D197" s="143" t="s">
        <v>7</v>
      </c>
      <c r="E197" s="122">
        <v>400</v>
      </c>
      <c r="F197" s="144">
        <v>0.2</v>
      </c>
      <c r="G197" s="156">
        <f t="shared" si="6"/>
        <v>80</v>
      </c>
    </row>
    <row r="198" spans="1:7" x14ac:dyDescent="0.25">
      <c r="A198" s="68"/>
      <c r="B198" s="71"/>
      <c r="C198" s="135" t="s">
        <v>172</v>
      </c>
      <c r="D198" s="143" t="s">
        <v>7</v>
      </c>
      <c r="E198" s="122">
        <v>300</v>
      </c>
      <c r="F198" s="144">
        <v>0.2</v>
      </c>
      <c r="G198" s="156">
        <f t="shared" si="6"/>
        <v>60</v>
      </c>
    </row>
    <row r="199" spans="1:7" x14ac:dyDescent="0.25">
      <c r="A199" s="68"/>
      <c r="B199" s="71"/>
      <c r="C199" s="135" t="s">
        <v>146</v>
      </c>
      <c r="D199" s="143" t="s">
        <v>7</v>
      </c>
      <c r="E199" s="122">
        <v>200</v>
      </c>
      <c r="F199" s="144">
        <v>0.2</v>
      </c>
      <c r="G199" s="156">
        <f t="shared" si="6"/>
        <v>40</v>
      </c>
    </row>
    <row r="200" spans="1:7" x14ac:dyDescent="0.25">
      <c r="A200" s="68"/>
      <c r="B200" s="71"/>
      <c r="C200" s="135" t="s">
        <v>184</v>
      </c>
      <c r="D200" s="143" t="s">
        <v>7</v>
      </c>
      <c r="E200" s="122">
        <v>4</v>
      </c>
      <c r="F200" s="144">
        <v>320</v>
      </c>
      <c r="G200" s="156">
        <f t="shared" si="6"/>
        <v>1280</v>
      </c>
    </row>
    <row r="201" spans="1:7" x14ac:dyDescent="0.25">
      <c r="A201" s="68"/>
      <c r="B201" s="71"/>
      <c r="C201" s="135" t="s">
        <v>71</v>
      </c>
      <c r="D201" s="143" t="s">
        <v>7</v>
      </c>
      <c r="E201" s="122">
        <v>11</v>
      </c>
      <c r="F201" s="144">
        <v>110</v>
      </c>
      <c r="G201" s="156">
        <f t="shared" si="6"/>
        <v>1210</v>
      </c>
    </row>
    <row r="202" spans="1:7" x14ac:dyDescent="0.25">
      <c r="A202" s="68"/>
      <c r="B202" s="71"/>
      <c r="C202" s="135" t="s">
        <v>34</v>
      </c>
      <c r="D202" s="143" t="s">
        <v>7</v>
      </c>
      <c r="E202" s="122">
        <v>6</v>
      </c>
      <c r="F202" s="144">
        <v>15</v>
      </c>
      <c r="G202" s="156">
        <f t="shared" si="6"/>
        <v>90</v>
      </c>
    </row>
    <row r="203" spans="1:7" x14ac:dyDescent="0.25">
      <c r="A203" s="68"/>
      <c r="B203" s="71"/>
      <c r="C203" s="135" t="s">
        <v>185</v>
      </c>
      <c r="D203" s="143" t="s">
        <v>7</v>
      </c>
      <c r="E203" s="122">
        <v>24</v>
      </c>
      <c r="F203" s="144">
        <v>15</v>
      </c>
      <c r="G203" s="156">
        <f t="shared" si="6"/>
        <v>360</v>
      </c>
    </row>
    <row r="204" spans="1:7" x14ac:dyDescent="0.25">
      <c r="A204" s="68"/>
      <c r="B204" s="71"/>
      <c r="C204" s="135" t="s">
        <v>186</v>
      </c>
      <c r="D204" s="143" t="s">
        <v>7</v>
      </c>
      <c r="E204" s="122">
        <v>10</v>
      </c>
      <c r="F204" s="144">
        <v>20</v>
      </c>
      <c r="G204" s="156">
        <f t="shared" si="6"/>
        <v>200</v>
      </c>
    </row>
    <row r="205" spans="1:7" x14ac:dyDescent="0.25">
      <c r="A205" s="68"/>
      <c r="B205" s="71"/>
      <c r="C205" s="135" t="s">
        <v>94</v>
      </c>
      <c r="D205" s="143" t="s">
        <v>7</v>
      </c>
      <c r="E205" s="122">
        <v>10</v>
      </c>
      <c r="F205" s="144">
        <v>10</v>
      </c>
      <c r="G205" s="156">
        <f t="shared" si="6"/>
        <v>100</v>
      </c>
    </row>
    <row r="206" spans="1:7" x14ac:dyDescent="0.25">
      <c r="A206" s="68"/>
      <c r="B206" s="71"/>
      <c r="C206" s="135" t="s">
        <v>187</v>
      </c>
      <c r="D206" s="143" t="s">
        <v>7</v>
      </c>
      <c r="E206" s="122">
        <v>10</v>
      </c>
      <c r="F206" s="144">
        <v>2</v>
      </c>
      <c r="G206" s="156">
        <f t="shared" si="6"/>
        <v>20</v>
      </c>
    </row>
    <row r="207" spans="1:7" x14ac:dyDescent="0.25">
      <c r="A207" s="68"/>
      <c r="B207" s="71"/>
      <c r="C207" s="135" t="s">
        <v>188</v>
      </c>
      <c r="D207" s="143" t="s">
        <v>7</v>
      </c>
      <c r="E207" s="122">
        <v>1</v>
      </c>
      <c r="F207" s="144">
        <v>200</v>
      </c>
      <c r="G207" s="156">
        <f t="shared" si="6"/>
        <v>200</v>
      </c>
    </row>
    <row r="208" spans="1:7" x14ac:dyDescent="0.25">
      <c r="A208" s="68"/>
      <c r="B208" s="71"/>
      <c r="C208" s="135" t="s">
        <v>189</v>
      </c>
      <c r="D208" s="143" t="s">
        <v>7</v>
      </c>
      <c r="E208" s="122">
        <v>2</v>
      </c>
      <c r="F208" s="144">
        <v>120</v>
      </c>
      <c r="G208" s="156">
        <f t="shared" si="6"/>
        <v>240</v>
      </c>
    </row>
    <row r="209" spans="1:7" x14ac:dyDescent="0.25">
      <c r="A209" s="68"/>
      <c r="B209" s="71"/>
      <c r="C209" s="135" t="s">
        <v>190</v>
      </c>
      <c r="D209" s="143" t="s">
        <v>195</v>
      </c>
      <c r="E209" s="122">
        <v>2</v>
      </c>
      <c r="F209" s="144">
        <v>180</v>
      </c>
      <c r="G209" s="156">
        <f t="shared" ref="G209:G213" si="7">E209*F209</f>
        <v>360</v>
      </c>
    </row>
    <row r="210" spans="1:7" x14ac:dyDescent="0.25">
      <c r="A210" s="68"/>
      <c r="B210" s="71"/>
      <c r="C210" s="135" t="s">
        <v>194</v>
      </c>
      <c r="D210" s="143" t="s">
        <v>7</v>
      </c>
      <c r="E210" s="122">
        <v>2</v>
      </c>
      <c r="F210" s="144">
        <v>90</v>
      </c>
      <c r="G210" s="156">
        <f t="shared" si="7"/>
        <v>180</v>
      </c>
    </row>
    <row r="211" spans="1:7" x14ac:dyDescent="0.25">
      <c r="A211" s="68"/>
      <c r="B211" s="71"/>
      <c r="C211" s="135" t="s">
        <v>191</v>
      </c>
      <c r="D211" s="143" t="s">
        <v>7</v>
      </c>
      <c r="E211" s="126">
        <v>5</v>
      </c>
      <c r="F211" s="146">
        <v>650</v>
      </c>
      <c r="G211" s="156">
        <f t="shared" si="7"/>
        <v>3250</v>
      </c>
    </row>
    <row r="212" spans="1:7" x14ac:dyDescent="0.25">
      <c r="A212" s="68"/>
      <c r="B212" s="71"/>
      <c r="C212" s="135" t="s">
        <v>192</v>
      </c>
      <c r="D212" s="143" t="s">
        <v>7</v>
      </c>
      <c r="E212" s="126">
        <v>10</v>
      </c>
      <c r="F212" s="146">
        <v>33.200000000000003</v>
      </c>
      <c r="G212" s="156">
        <f t="shared" si="7"/>
        <v>332</v>
      </c>
    </row>
    <row r="213" spans="1:7" x14ac:dyDescent="0.25">
      <c r="A213" s="68"/>
      <c r="B213" s="71"/>
      <c r="C213" s="135" t="s">
        <v>193</v>
      </c>
      <c r="D213" s="143" t="s">
        <v>7</v>
      </c>
      <c r="E213" s="126">
        <v>2</v>
      </c>
      <c r="F213" s="146">
        <v>25</v>
      </c>
      <c r="G213" s="156">
        <f t="shared" si="7"/>
        <v>50</v>
      </c>
    </row>
    <row r="214" spans="1:7" x14ac:dyDescent="0.25">
      <c r="A214" s="68"/>
      <c r="B214" s="71"/>
      <c r="C214" s="135" t="s">
        <v>196</v>
      </c>
      <c r="D214" s="143" t="s">
        <v>76</v>
      </c>
      <c r="E214" s="126">
        <v>55</v>
      </c>
      <c r="F214" s="146">
        <v>54.500999999999998</v>
      </c>
      <c r="G214" s="156">
        <v>3000</v>
      </c>
    </row>
    <row r="215" spans="1:7" x14ac:dyDescent="0.25">
      <c r="A215" s="69"/>
      <c r="B215" s="72"/>
      <c r="C215" s="135" t="s">
        <v>196</v>
      </c>
      <c r="D215" s="143" t="s">
        <v>76</v>
      </c>
      <c r="E215" s="122" t="s">
        <v>233</v>
      </c>
      <c r="F215" s="144">
        <v>31.8</v>
      </c>
      <c r="G215" s="156">
        <v>540.67999999999995</v>
      </c>
    </row>
    <row r="216" spans="1:7" x14ac:dyDescent="0.25">
      <c r="A216" s="123"/>
      <c r="B216" s="123"/>
      <c r="C216" s="136" t="s">
        <v>9</v>
      </c>
      <c r="D216" s="123"/>
      <c r="E216" s="124"/>
      <c r="F216" s="145"/>
      <c r="G216" s="145">
        <f>SUM(G190:G215)</f>
        <v>74854.62999999999</v>
      </c>
    </row>
    <row r="217" spans="1:7" x14ac:dyDescent="0.25">
      <c r="A217" s="73">
        <v>9</v>
      </c>
      <c r="B217" s="76" t="s">
        <v>35</v>
      </c>
      <c r="C217" s="135" t="s">
        <v>143</v>
      </c>
      <c r="D217" s="143" t="s">
        <v>7</v>
      </c>
      <c r="E217" s="122">
        <v>2</v>
      </c>
      <c r="F217" s="144">
        <v>5046.66</v>
      </c>
      <c r="G217" s="156">
        <f>E217*F217</f>
        <v>10093.32</v>
      </c>
    </row>
    <row r="218" spans="1:7" x14ac:dyDescent="0.25">
      <c r="A218" s="74"/>
      <c r="B218" s="77"/>
      <c r="C218" s="135" t="s">
        <v>273</v>
      </c>
      <c r="D218" s="143" t="s">
        <v>7</v>
      </c>
      <c r="E218" s="122">
        <v>1</v>
      </c>
      <c r="F218" s="144">
        <v>12400</v>
      </c>
      <c r="G218" s="156">
        <v>12400</v>
      </c>
    </row>
    <row r="219" spans="1:7" x14ac:dyDescent="0.25">
      <c r="A219" s="74"/>
      <c r="B219" s="77"/>
      <c r="C219" s="135" t="s">
        <v>67</v>
      </c>
      <c r="D219" s="143" t="s">
        <v>7</v>
      </c>
      <c r="E219" s="122">
        <f>14+4+4+7</f>
        <v>29</v>
      </c>
      <c r="F219" s="144"/>
      <c r="G219" s="156">
        <f>41580+12000+11600+21000</f>
        <v>86180</v>
      </c>
    </row>
    <row r="220" spans="1:7" x14ac:dyDescent="0.25">
      <c r="A220" s="74"/>
      <c r="B220" s="77"/>
      <c r="C220" s="135" t="s">
        <v>274</v>
      </c>
      <c r="D220" s="143" t="s">
        <v>8</v>
      </c>
      <c r="E220" s="122">
        <v>226</v>
      </c>
      <c r="F220" s="144">
        <v>45</v>
      </c>
      <c r="G220" s="156">
        <v>10170</v>
      </c>
    </row>
    <row r="221" spans="1:7" x14ac:dyDescent="0.25">
      <c r="A221" s="74"/>
      <c r="B221" s="77"/>
      <c r="C221" s="135" t="s">
        <v>275</v>
      </c>
      <c r="D221" s="143" t="s">
        <v>7</v>
      </c>
      <c r="E221" s="122">
        <v>30</v>
      </c>
      <c r="F221" s="144">
        <v>100</v>
      </c>
      <c r="G221" s="156">
        <v>3000</v>
      </c>
    </row>
    <row r="222" spans="1:7" x14ac:dyDescent="0.25">
      <c r="A222" s="74"/>
      <c r="B222" s="77"/>
      <c r="C222" s="135" t="s">
        <v>276</v>
      </c>
      <c r="D222" s="143" t="s">
        <v>7</v>
      </c>
      <c r="E222" s="122">
        <v>8</v>
      </c>
      <c r="F222" s="144">
        <v>30</v>
      </c>
      <c r="G222" s="156">
        <v>240</v>
      </c>
    </row>
    <row r="223" spans="1:7" x14ac:dyDescent="0.25">
      <c r="A223" s="74"/>
      <c r="B223" s="77"/>
      <c r="C223" s="135" t="s">
        <v>277</v>
      </c>
      <c r="D223" s="143" t="s">
        <v>7</v>
      </c>
      <c r="E223" s="122">
        <v>5</v>
      </c>
      <c r="F223" s="144">
        <v>40</v>
      </c>
      <c r="G223" s="156">
        <v>200</v>
      </c>
    </row>
    <row r="224" spans="1:7" x14ac:dyDescent="0.25">
      <c r="A224" s="74"/>
      <c r="B224" s="77"/>
      <c r="C224" s="135" t="s">
        <v>278</v>
      </c>
      <c r="D224" s="143" t="s">
        <v>7</v>
      </c>
      <c r="E224" s="122">
        <v>2</v>
      </c>
      <c r="F224" s="144">
        <v>410</v>
      </c>
      <c r="G224" s="156">
        <v>820</v>
      </c>
    </row>
    <row r="225" spans="1:7" x14ac:dyDescent="0.25">
      <c r="A225" s="74"/>
      <c r="B225" s="77"/>
      <c r="C225" s="135" t="s">
        <v>80</v>
      </c>
      <c r="D225" s="143" t="s">
        <v>7</v>
      </c>
      <c r="E225" s="122">
        <v>50</v>
      </c>
      <c r="F225" s="144">
        <v>60</v>
      </c>
      <c r="G225" s="156">
        <v>3000</v>
      </c>
    </row>
    <row r="226" spans="1:7" x14ac:dyDescent="0.25">
      <c r="A226" s="74"/>
      <c r="B226" s="77"/>
      <c r="C226" s="135" t="s">
        <v>279</v>
      </c>
      <c r="D226" s="143" t="s">
        <v>7</v>
      </c>
      <c r="E226" s="122">
        <v>6</v>
      </c>
      <c r="F226" s="144">
        <v>20</v>
      </c>
      <c r="G226" s="156">
        <v>120</v>
      </c>
    </row>
    <row r="227" spans="1:7" x14ac:dyDescent="0.25">
      <c r="A227" s="75"/>
      <c r="B227" s="78"/>
      <c r="C227" s="135" t="s">
        <v>280</v>
      </c>
      <c r="D227" s="143" t="s">
        <v>7</v>
      </c>
      <c r="E227" s="122">
        <v>1</v>
      </c>
      <c r="F227" s="144">
        <v>300</v>
      </c>
      <c r="G227" s="156">
        <v>300</v>
      </c>
    </row>
    <row r="228" spans="1:7" x14ac:dyDescent="0.25">
      <c r="A228" s="123"/>
      <c r="B228" s="123"/>
      <c r="C228" s="136" t="s">
        <v>9</v>
      </c>
      <c r="D228" s="123"/>
      <c r="E228" s="124"/>
      <c r="F228" s="145"/>
      <c r="G228" s="145">
        <f>SUM(G217:G227)</f>
        <v>126523.32</v>
      </c>
    </row>
    <row r="229" spans="1:7" x14ac:dyDescent="0.25">
      <c r="A229" s="67">
        <v>10</v>
      </c>
      <c r="B229" s="70" t="s">
        <v>215</v>
      </c>
      <c r="C229" s="135" t="s">
        <v>165</v>
      </c>
      <c r="D229" s="143" t="s">
        <v>7</v>
      </c>
      <c r="E229" s="122">
        <v>1</v>
      </c>
      <c r="F229" s="156">
        <v>1974.78</v>
      </c>
      <c r="G229" s="156">
        <f>E229*F229</f>
        <v>1974.78</v>
      </c>
    </row>
    <row r="230" spans="1:7" x14ac:dyDescent="0.25">
      <c r="A230" s="68"/>
      <c r="B230" s="71"/>
      <c r="C230" s="135" t="s">
        <v>143</v>
      </c>
      <c r="D230" s="143" t="s">
        <v>7</v>
      </c>
      <c r="E230" s="122">
        <v>1</v>
      </c>
      <c r="F230" s="156">
        <v>5046.66</v>
      </c>
      <c r="G230" s="156">
        <f t="shared" ref="G230:G271" si="8">E230*F230</f>
        <v>5046.66</v>
      </c>
    </row>
    <row r="231" spans="1:7" x14ac:dyDescent="0.25">
      <c r="A231" s="68"/>
      <c r="B231" s="71"/>
      <c r="C231" s="135" t="s">
        <v>197</v>
      </c>
      <c r="D231" s="143" t="s">
        <v>7</v>
      </c>
      <c r="E231" s="122">
        <v>3</v>
      </c>
      <c r="F231" s="156">
        <v>682.4</v>
      </c>
      <c r="G231" s="156">
        <f t="shared" si="8"/>
        <v>2047.1999999999998</v>
      </c>
    </row>
    <row r="232" spans="1:7" x14ac:dyDescent="0.25">
      <c r="A232" s="68"/>
      <c r="B232" s="71"/>
      <c r="C232" s="135" t="s">
        <v>75</v>
      </c>
      <c r="D232" s="143" t="s">
        <v>7</v>
      </c>
      <c r="E232" s="122">
        <v>2</v>
      </c>
      <c r="F232" s="156">
        <v>300</v>
      </c>
      <c r="G232" s="156">
        <f t="shared" si="8"/>
        <v>600</v>
      </c>
    </row>
    <row r="233" spans="1:7" x14ac:dyDescent="0.25">
      <c r="A233" s="68"/>
      <c r="B233" s="71"/>
      <c r="C233" s="135" t="s">
        <v>198</v>
      </c>
      <c r="D233" s="143" t="s">
        <v>7</v>
      </c>
      <c r="E233" s="122">
        <v>5</v>
      </c>
      <c r="F233" s="156">
        <v>150</v>
      </c>
      <c r="G233" s="156">
        <f t="shared" si="8"/>
        <v>750</v>
      </c>
    </row>
    <row r="234" spans="1:7" x14ac:dyDescent="0.25">
      <c r="A234" s="68"/>
      <c r="B234" s="71"/>
      <c r="C234" s="135" t="s">
        <v>199</v>
      </c>
      <c r="D234" s="143" t="s">
        <v>7</v>
      </c>
      <c r="E234" s="122">
        <v>5</v>
      </c>
      <c r="F234" s="156">
        <v>20</v>
      </c>
      <c r="G234" s="156">
        <f t="shared" si="8"/>
        <v>100</v>
      </c>
    </row>
    <row r="235" spans="1:7" x14ac:dyDescent="0.25">
      <c r="A235" s="68"/>
      <c r="B235" s="71"/>
      <c r="C235" s="135" t="s">
        <v>150</v>
      </c>
      <c r="D235" s="143" t="s">
        <v>7</v>
      </c>
      <c r="E235" s="122">
        <v>7</v>
      </c>
      <c r="F235" s="156">
        <v>200</v>
      </c>
      <c r="G235" s="156">
        <f t="shared" si="8"/>
        <v>1400</v>
      </c>
    </row>
    <row r="236" spans="1:7" x14ac:dyDescent="0.25">
      <c r="A236" s="68"/>
      <c r="B236" s="71"/>
      <c r="C236" s="135" t="s">
        <v>200</v>
      </c>
      <c r="D236" s="143" t="s">
        <v>7</v>
      </c>
      <c r="E236" s="122">
        <v>2</v>
      </c>
      <c r="F236" s="156">
        <v>500</v>
      </c>
      <c r="G236" s="156">
        <f t="shared" si="8"/>
        <v>1000</v>
      </c>
    </row>
    <row r="237" spans="1:7" x14ac:dyDescent="0.25">
      <c r="A237" s="68"/>
      <c r="B237" s="71"/>
      <c r="C237" s="135" t="s">
        <v>149</v>
      </c>
      <c r="D237" s="143" t="s">
        <v>7</v>
      </c>
      <c r="E237" s="122">
        <v>12</v>
      </c>
      <c r="F237" s="156">
        <v>250</v>
      </c>
      <c r="G237" s="156">
        <f t="shared" si="8"/>
        <v>3000</v>
      </c>
    </row>
    <row r="238" spans="1:7" x14ac:dyDescent="0.25">
      <c r="A238" s="68"/>
      <c r="B238" s="71"/>
      <c r="C238" s="135" t="s">
        <v>170</v>
      </c>
      <c r="D238" s="143" t="s">
        <v>7</v>
      </c>
      <c r="E238" s="122">
        <v>3</v>
      </c>
      <c r="F238" s="156">
        <v>550</v>
      </c>
      <c r="G238" s="156">
        <f t="shared" si="8"/>
        <v>1650</v>
      </c>
    </row>
    <row r="239" spans="1:7" x14ac:dyDescent="0.25">
      <c r="A239" s="68"/>
      <c r="B239" s="71"/>
      <c r="C239" s="135" t="s">
        <v>158</v>
      </c>
      <c r="D239" s="143" t="s">
        <v>163</v>
      </c>
      <c r="E239" s="122">
        <v>5</v>
      </c>
      <c r="F239" s="156">
        <v>300</v>
      </c>
      <c r="G239" s="156">
        <f t="shared" si="8"/>
        <v>1500</v>
      </c>
    </row>
    <row r="240" spans="1:7" x14ac:dyDescent="0.25">
      <c r="A240" s="68"/>
      <c r="B240" s="71"/>
      <c r="C240" s="135" t="s">
        <v>211</v>
      </c>
      <c r="D240" s="143" t="s">
        <v>163</v>
      </c>
      <c r="E240" s="122">
        <v>5</v>
      </c>
      <c r="F240" s="156">
        <v>30</v>
      </c>
      <c r="G240" s="156">
        <f t="shared" si="8"/>
        <v>150</v>
      </c>
    </row>
    <row r="241" spans="1:7" x14ac:dyDescent="0.25">
      <c r="A241" s="68"/>
      <c r="B241" s="71"/>
      <c r="C241" s="135" t="s">
        <v>201</v>
      </c>
      <c r="D241" s="143" t="s">
        <v>7</v>
      </c>
      <c r="E241" s="122">
        <v>35</v>
      </c>
      <c r="F241" s="156">
        <v>15</v>
      </c>
      <c r="G241" s="156">
        <f t="shared" si="8"/>
        <v>525</v>
      </c>
    </row>
    <row r="242" spans="1:7" x14ac:dyDescent="0.25">
      <c r="A242" s="68"/>
      <c r="B242" s="71"/>
      <c r="C242" s="135" t="s">
        <v>121</v>
      </c>
      <c r="D242" s="143" t="s">
        <v>7</v>
      </c>
      <c r="E242" s="122">
        <v>400</v>
      </c>
      <c r="F242" s="156">
        <v>0.5</v>
      </c>
      <c r="G242" s="156">
        <f t="shared" si="8"/>
        <v>200</v>
      </c>
    </row>
    <row r="243" spans="1:7" x14ac:dyDescent="0.25">
      <c r="A243" s="68"/>
      <c r="B243" s="71"/>
      <c r="C243" s="135" t="s">
        <v>86</v>
      </c>
      <c r="D243" s="143" t="s">
        <v>7</v>
      </c>
      <c r="E243" s="122">
        <v>5</v>
      </c>
      <c r="F243" s="156">
        <v>11</v>
      </c>
      <c r="G243" s="156">
        <f t="shared" si="8"/>
        <v>55</v>
      </c>
    </row>
    <row r="244" spans="1:7" x14ac:dyDescent="0.25">
      <c r="A244" s="68"/>
      <c r="B244" s="71"/>
      <c r="C244" s="135" t="s">
        <v>202</v>
      </c>
      <c r="D244" s="143" t="s">
        <v>7</v>
      </c>
      <c r="E244" s="122">
        <v>2</v>
      </c>
      <c r="F244" s="156">
        <v>18</v>
      </c>
      <c r="G244" s="156">
        <f t="shared" si="8"/>
        <v>36</v>
      </c>
    </row>
    <row r="245" spans="1:7" x14ac:dyDescent="0.25">
      <c r="A245" s="68"/>
      <c r="B245" s="71"/>
      <c r="C245" s="135" t="s">
        <v>172</v>
      </c>
      <c r="D245" s="143" t="s">
        <v>7</v>
      </c>
      <c r="E245" s="122">
        <v>200</v>
      </c>
      <c r="F245" s="156">
        <v>0.5</v>
      </c>
      <c r="G245" s="156">
        <f t="shared" si="8"/>
        <v>100</v>
      </c>
    </row>
    <row r="246" spans="1:7" x14ac:dyDescent="0.25">
      <c r="A246" s="68"/>
      <c r="B246" s="71"/>
      <c r="C246" s="135" t="s">
        <v>53</v>
      </c>
      <c r="D246" s="143" t="s">
        <v>163</v>
      </c>
      <c r="E246" s="122">
        <v>5</v>
      </c>
      <c r="F246" s="156">
        <v>70</v>
      </c>
      <c r="G246" s="156">
        <f t="shared" si="8"/>
        <v>350</v>
      </c>
    </row>
    <row r="247" spans="1:7" x14ac:dyDescent="0.25">
      <c r="A247" s="68"/>
      <c r="B247" s="71"/>
      <c r="C247" s="135" t="s">
        <v>159</v>
      </c>
      <c r="D247" s="143" t="s">
        <v>163</v>
      </c>
      <c r="E247" s="122">
        <v>5</v>
      </c>
      <c r="F247" s="156">
        <v>90</v>
      </c>
      <c r="G247" s="156">
        <f t="shared" si="8"/>
        <v>450</v>
      </c>
    </row>
    <row r="248" spans="1:7" x14ac:dyDescent="0.25">
      <c r="A248" s="68"/>
      <c r="B248" s="71"/>
      <c r="C248" s="135" t="s">
        <v>203</v>
      </c>
      <c r="D248" s="143" t="s">
        <v>7</v>
      </c>
      <c r="E248" s="122">
        <v>40</v>
      </c>
      <c r="F248" s="156">
        <v>2</v>
      </c>
      <c r="G248" s="156">
        <f t="shared" si="8"/>
        <v>80</v>
      </c>
    </row>
    <row r="249" spans="1:7" x14ac:dyDescent="0.25">
      <c r="A249" s="68"/>
      <c r="B249" s="71"/>
      <c r="C249" s="135" t="s">
        <v>90</v>
      </c>
      <c r="D249" s="143" t="s">
        <v>7</v>
      </c>
      <c r="E249" s="122">
        <v>20</v>
      </c>
      <c r="F249" s="156">
        <v>20</v>
      </c>
      <c r="G249" s="156">
        <f t="shared" si="8"/>
        <v>400</v>
      </c>
    </row>
    <row r="250" spans="1:7" x14ac:dyDescent="0.25">
      <c r="A250" s="68"/>
      <c r="B250" s="71"/>
      <c r="C250" s="135" t="s">
        <v>14</v>
      </c>
      <c r="D250" s="143" t="s">
        <v>7</v>
      </c>
      <c r="E250" s="122">
        <v>30</v>
      </c>
      <c r="F250" s="156">
        <v>10</v>
      </c>
      <c r="G250" s="156">
        <f t="shared" si="8"/>
        <v>300</v>
      </c>
    </row>
    <row r="251" spans="1:7" x14ac:dyDescent="0.25">
      <c r="A251" s="68"/>
      <c r="B251" s="71"/>
      <c r="C251" s="135" t="s">
        <v>147</v>
      </c>
      <c r="D251" s="143" t="s">
        <v>7</v>
      </c>
      <c r="E251" s="122">
        <v>20</v>
      </c>
      <c r="F251" s="156">
        <v>10</v>
      </c>
      <c r="G251" s="156">
        <f t="shared" si="8"/>
        <v>200</v>
      </c>
    </row>
    <row r="252" spans="1:7" x14ac:dyDescent="0.25">
      <c r="A252" s="68"/>
      <c r="B252" s="71"/>
      <c r="C252" s="135" t="s">
        <v>153</v>
      </c>
      <c r="D252" s="143" t="s">
        <v>7</v>
      </c>
      <c r="E252" s="122">
        <v>24</v>
      </c>
      <c r="F252" s="156">
        <v>70</v>
      </c>
      <c r="G252" s="156">
        <f t="shared" si="8"/>
        <v>1680</v>
      </c>
    </row>
    <row r="253" spans="1:7" x14ac:dyDescent="0.25">
      <c r="A253" s="68"/>
      <c r="B253" s="71"/>
      <c r="C253" s="135" t="s">
        <v>204</v>
      </c>
      <c r="D253" s="143" t="s">
        <v>7</v>
      </c>
      <c r="E253" s="122">
        <v>12</v>
      </c>
      <c r="F253" s="156">
        <v>130</v>
      </c>
      <c r="G253" s="156">
        <f t="shared" si="8"/>
        <v>1560</v>
      </c>
    </row>
    <row r="254" spans="1:7" x14ac:dyDescent="0.25">
      <c r="A254" s="68"/>
      <c r="B254" s="71"/>
      <c r="C254" s="135" t="s">
        <v>213</v>
      </c>
      <c r="D254" s="143" t="s">
        <v>7</v>
      </c>
      <c r="E254" s="122">
        <v>12</v>
      </c>
      <c r="F254" s="156">
        <v>40</v>
      </c>
      <c r="G254" s="156">
        <f t="shared" si="8"/>
        <v>480</v>
      </c>
    </row>
    <row r="255" spans="1:7" x14ac:dyDescent="0.25">
      <c r="A255" s="68"/>
      <c r="B255" s="71"/>
      <c r="C255" s="135" t="s">
        <v>212</v>
      </c>
      <c r="D255" s="143" t="s">
        <v>7</v>
      </c>
      <c r="E255" s="122">
        <v>3</v>
      </c>
      <c r="F255" s="156">
        <v>20</v>
      </c>
      <c r="G255" s="156">
        <f t="shared" si="8"/>
        <v>60</v>
      </c>
    </row>
    <row r="256" spans="1:7" x14ac:dyDescent="0.25">
      <c r="A256" s="68"/>
      <c r="B256" s="71"/>
      <c r="C256" s="135" t="s">
        <v>193</v>
      </c>
      <c r="D256" s="143" t="s">
        <v>7</v>
      </c>
      <c r="E256" s="122">
        <v>2</v>
      </c>
      <c r="F256" s="156">
        <v>45</v>
      </c>
      <c r="G256" s="156">
        <f t="shared" si="8"/>
        <v>90</v>
      </c>
    </row>
    <row r="257" spans="1:7" x14ac:dyDescent="0.25">
      <c r="A257" s="68"/>
      <c r="B257" s="71"/>
      <c r="C257" s="135" t="s">
        <v>205</v>
      </c>
      <c r="D257" s="143" t="s">
        <v>7</v>
      </c>
      <c r="E257" s="122">
        <v>2</v>
      </c>
      <c r="F257" s="156">
        <v>30</v>
      </c>
      <c r="G257" s="156">
        <f t="shared" si="8"/>
        <v>60</v>
      </c>
    </row>
    <row r="258" spans="1:7" x14ac:dyDescent="0.25">
      <c r="A258" s="68"/>
      <c r="B258" s="71"/>
      <c r="C258" s="135" t="s">
        <v>206</v>
      </c>
      <c r="D258" s="143" t="s">
        <v>7</v>
      </c>
      <c r="E258" s="122">
        <v>12</v>
      </c>
      <c r="F258" s="156">
        <v>115</v>
      </c>
      <c r="G258" s="156">
        <f t="shared" si="8"/>
        <v>1380</v>
      </c>
    </row>
    <row r="259" spans="1:7" x14ac:dyDescent="0.25">
      <c r="A259" s="68"/>
      <c r="B259" s="71"/>
      <c r="C259" s="135" t="s">
        <v>207</v>
      </c>
      <c r="D259" s="143" t="s">
        <v>210</v>
      </c>
      <c r="E259" s="122">
        <v>10</v>
      </c>
      <c r="F259" s="156">
        <v>270</v>
      </c>
      <c r="G259" s="156">
        <f t="shared" si="8"/>
        <v>2700</v>
      </c>
    </row>
    <row r="260" spans="1:7" x14ac:dyDescent="0.25">
      <c r="A260" s="68"/>
      <c r="B260" s="71"/>
      <c r="C260" s="135" t="s">
        <v>208</v>
      </c>
      <c r="D260" s="143" t="s">
        <v>7</v>
      </c>
      <c r="E260" s="122">
        <v>1</v>
      </c>
      <c r="F260" s="156">
        <v>170</v>
      </c>
      <c r="G260" s="156">
        <f t="shared" si="8"/>
        <v>170</v>
      </c>
    </row>
    <row r="261" spans="1:7" x14ac:dyDescent="0.25">
      <c r="A261" s="68"/>
      <c r="B261" s="71"/>
      <c r="C261" s="135" t="s">
        <v>209</v>
      </c>
      <c r="D261" s="143" t="s">
        <v>7</v>
      </c>
      <c r="E261" s="122">
        <v>5</v>
      </c>
      <c r="F261" s="156">
        <v>310</v>
      </c>
      <c r="G261" s="156">
        <f t="shared" si="8"/>
        <v>1550</v>
      </c>
    </row>
    <row r="262" spans="1:7" x14ac:dyDescent="0.25">
      <c r="A262" s="68"/>
      <c r="B262" s="71"/>
      <c r="C262" s="135" t="s">
        <v>352</v>
      </c>
      <c r="D262" s="143" t="s">
        <v>7</v>
      </c>
      <c r="E262" s="122">
        <v>7</v>
      </c>
      <c r="F262" s="156">
        <v>200</v>
      </c>
      <c r="G262" s="156">
        <f t="shared" si="8"/>
        <v>1400</v>
      </c>
    </row>
    <row r="263" spans="1:7" x14ac:dyDescent="0.25">
      <c r="A263" s="68"/>
      <c r="B263" s="71"/>
      <c r="C263" s="135" t="s">
        <v>281</v>
      </c>
      <c r="D263" s="143" t="s">
        <v>7</v>
      </c>
      <c r="E263" s="122">
        <v>102</v>
      </c>
      <c r="F263" s="156">
        <v>10</v>
      </c>
      <c r="G263" s="156">
        <f t="shared" si="8"/>
        <v>1020</v>
      </c>
    </row>
    <row r="264" spans="1:7" x14ac:dyDescent="0.25">
      <c r="A264" s="68"/>
      <c r="B264" s="71"/>
      <c r="C264" s="135" t="s">
        <v>58</v>
      </c>
      <c r="D264" s="143" t="s">
        <v>7</v>
      </c>
      <c r="E264" s="122">
        <v>4</v>
      </c>
      <c r="F264" s="156">
        <v>25</v>
      </c>
      <c r="G264" s="156">
        <f t="shared" si="8"/>
        <v>100</v>
      </c>
    </row>
    <row r="265" spans="1:7" x14ac:dyDescent="0.25">
      <c r="A265" s="68"/>
      <c r="B265" s="71"/>
      <c r="C265" s="135" t="s">
        <v>94</v>
      </c>
      <c r="D265" s="143" t="s">
        <v>7</v>
      </c>
      <c r="E265" s="122">
        <v>7</v>
      </c>
      <c r="F265" s="156">
        <v>40</v>
      </c>
      <c r="G265" s="156">
        <f t="shared" si="8"/>
        <v>280</v>
      </c>
    </row>
    <row r="266" spans="1:7" x14ac:dyDescent="0.25">
      <c r="A266" s="68"/>
      <c r="B266" s="71"/>
      <c r="C266" s="135" t="s">
        <v>114</v>
      </c>
      <c r="D266" s="143" t="s">
        <v>7</v>
      </c>
      <c r="E266" s="122">
        <v>3</v>
      </c>
      <c r="F266" s="156">
        <v>200</v>
      </c>
      <c r="G266" s="156">
        <f t="shared" si="8"/>
        <v>600</v>
      </c>
    </row>
    <row r="267" spans="1:7" x14ac:dyDescent="0.25">
      <c r="A267" s="68"/>
      <c r="B267" s="71"/>
      <c r="C267" s="135" t="s">
        <v>46</v>
      </c>
      <c r="D267" s="143" t="s">
        <v>7</v>
      </c>
      <c r="E267" s="122">
        <v>5</v>
      </c>
      <c r="F267" s="156">
        <v>80</v>
      </c>
      <c r="G267" s="156">
        <f t="shared" si="8"/>
        <v>400</v>
      </c>
    </row>
    <row r="268" spans="1:7" x14ac:dyDescent="0.25">
      <c r="A268" s="68"/>
      <c r="B268" s="71"/>
      <c r="C268" s="135" t="s">
        <v>282</v>
      </c>
      <c r="D268" s="143" t="s">
        <v>7</v>
      </c>
      <c r="E268" s="122">
        <v>10</v>
      </c>
      <c r="F268" s="156">
        <v>30</v>
      </c>
      <c r="G268" s="156">
        <f t="shared" si="8"/>
        <v>300</v>
      </c>
    </row>
    <row r="269" spans="1:7" x14ac:dyDescent="0.25">
      <c r="A269" s="68"/>
      <c r="B269" s="71"/>
      <c r="C269" s="135" t="s">
        <v>283</v>
      </c>
      <c r="D269" s="143" t="s">
        <v>7</v>
      </c>
      <c r="E269" s="122">
        <v>6</v>
      </c>
      <c r="F269" s="156">
        <v>250</v>
      </c>
      <c r="G269" s="156">
        <f t="shared" si="8"/>
        <v>1500</v>
      </c>
    </row>
    <row r="270" spans="1:7" x14ac:dyDescent="0.25">
      <c r="A270" s="68"/>
      <c r="B270" s="71"/>
      <c r="C270" s="135" t="s">
        <v>109</v>
      </c>
      <c r="D270" s="143" t="s">
        <v>7</v>
      </c>
      <c r="E270" s="122">
        <v>16</v>
      </c>
      <c r="F270" s="156">
        <v>10</v>
      </c>
      <c r="G270" s="156">
        <f t="shared" si="8"/>
        <v>160</v>
      </c>
    </row>
    <row r="271" spans="1:7" x14ac:dyDescent="0.25">
      <c r="A271" s="68"/>
      <c r="B271" s="71"/>
      <c r="C271" s="135" t="s">
        <v>284</v>
      </c>
      <c r="D271" s="143" t="s">
        <v>7</v>
      </c>
      <c r="E271" s="122">
        <v>30</v>
      </c>
      <c r="F271" s="156">
        <v>1073</v>
      </c>
      <c r="G271" s="156">
        <f t="shared" si="8"/>
        <v>32190</v>
      </c>
    </row>
    <row r="272" spans="1:7" x14ac:dyDescent="0.25">
      <c r="A272" s="69"/>
      <c r="B272" s="72"/>
      <c r="C272" s="135" t="s">
        <v>285</v>
      </c>
      <c r="D272" s="143" t="s">
        <v>124</v>
      </c>
      <c r="E272" s="122" t="s">
        <v>286</v>
      </c>
      <c r="F272" s="156">
        <v>42.12</v>
      </c>
      <c r="G272" s="156">
        <v>673.99</v>
      </c>
    </row>
    <row r="273" spans="1:7" x14ac:dyDescent="0.25">
      <c r="A273" s="123"/>
      <c r="B273" s="123"/>
      <c r="C273" s="136" t="s">
        <v>9</v>
      </c>
      <c r="D273" s="123"/>
      <c r="E273" s="124"/>
      <c r="F273" s="145"/>
      <c r="G273" s="145">
        <f>SUM(G229:G272)</f>
        <v>70268.63</v>
      </c>
    </row>
    <row r="274" spans="1:7" x14ac:dyDescent="0.25">
      <c r="A274" s="73">
        <v>11</v>
      </c>
      <c r="B274" s="76" t="s">
        <v>37</v>
      </c>
      <c r="C274" s="135" t="s">
        <v>84</v>
      </c>
      <c r="D274" s="143" t="s">
        <v>76</v>
      </c>
      <c r="E274" s="122">
        <v>61.53</v>
      </c>
      <c r="F274" s="144">
        <v>52</v>
      </c>
      <c r="G274" s="156">
        <v>3200</v>
      </c>
    </row>
    <row r="275" spans="1:7" x14ac:dyDescent="0.25">
      <c r="A275" s="74"/>
      <c r="B275" s="77"/>
      <c r="C275" s="135" t="s">
        <v>85</v>
      </c>
      <c r="D275" s="143" t="s">
        <v>7</v>
      </c>
      <c r="E275" s="122">
        <v>30</v>
      </c>
      <c r="F275" s="144">
        <v>1073</v>
      </c>
      <c r="G275" s="156">
        <f t="shared" ref="G275:G305" si="9">E275*F275</f>
        <v>32190</v>
      </c>
    </row>
    <row r="276" spans="1:7" x14ac:dyDescent="0.25">
      <c r="A276" s="74"/>
      <c r="B276" s="77"/>
      <c r="C276" s="135" t="s">
        <v>143</v>
      </c>
      <c r="D276" s="143" t="s">
        <v>7</v>
      </c>
      <c r="E276" s="126">
        <v>1</v>
      </c>
      <c r="F276" s="146">
        <v>5046.66</v>
      </c>
      <c r="G276" s="156">
        <f t="shared" si="9"/>
        <v>5046.66</v>
      </c>
    </row>
    <row r="277" spans="1:7" x14ac:dyDescent="0.25">
      <c r="A277" s="74"/>
      <c r="B277" s="77"/>
      <c r="C277" s="135" t="s">
        <v>181</v>
      </c>
      <c r="D277" s="143" t="s">
        <v>7</v>
      </c>
      <c r="E277" s="126">
        <v>3</v>
      </c>
      <c r="F277" s="146">
        <v>682.4</v>
      </c>
      <c r="G277" s="156">
        <f t="shared" si="9"/>
        <v>2047.1999999999998</v>
      </c>
    </row>
    <row r="278" spans="1:7" x14ac:dyDescent="0.25">
      <c r="A278" s="74"/>
      <c r="B278" s="77"/>
      <c r="C278" s="135" t="s">
        <v>165</v>
      </c>
      <c r="D278" s="143" t="s">
        <v>7</v>
      </c>
      <c r="E278" s="126">
        <v>1</v>
      </c>
      <c r="F278" s="146">
        <v>1974.78</v>
      </c>
      <c r="G278" s="156">
        <f t="shared" si="9"/>
        <v>1974.78</v>
      </c>
    </row>
    <row r="279" spans="1:7" x14ac:dyDescent="0.25">
      <c r="A279" s="74"/>
      <c r="B279" s="77"/>
      <c r="C279" s="135" t="s">
        <v>287</v>
      </c>
      <c r="D279" s="143" t="s">
        <v>7</v>
      </c>
      <c r="E279" s="126">
        <v>5</v>
      </c>
      <c r="F279" s="146">
        <v>648</v>
      </c>
      <c r="G279" s="156">
        <f t="shared" si="9"/>
        <v>3240</v>
      </c>
    </row>
    <row r="280" spans="1:7" x14ac:dyDescent="0.25">
      <c r="A280" s="74"/>
      <c r="B280" s="77"/>
      <c r="C280" s="135" t="s">
        <v>109</v>
      </c>
      <c r="D280" s="143" t="s">
        <v>7</v>
      </c>
      <c r="E280" s="126">
        <v>5</v>
      </c>
      <c r="F280" s="146">
        <v>17.649999999999999</v>
      </c>
      <c r="G280" s="156">
        <f t="shared" si="9"/>
        <v>88.25</v>
      </c>
    </row>
    <row r="281" spans="1:7" x14ac:dyDescent="0.25">
      <c r="A281" s="74"/>
      <c r="B281" s="77"/>
      <c r="C281" s="135" t="s">
        <v>172</v>
      </c>
      <c r="D281" s="143" t="s">
        <v>7</v>
      </c>
      <c r="E281" s="126">
        <v>200</v>
      </c>
      <c r="F281" s="146">
        <v>1.33</v>
      </c>
      <c r="G281" s="156">
        <f t="shared" si="9"/>
        <v>266</v>
      </c>
    </row>
    <row r="282" spans="1:7" x14ac:dyDescent="0.25">
      <c r="A282" s="74"/>
      <c r="B282" s="77"/>
      <c r="C282" s="135" t="s">
        <v>203</v>
      </c>
      <c r="D282" s="143"/>
      <c r="E282" s="126">
        <v>400</v>
      </c>
      <c r="F282" s="146">
        <v>1.99</v>
      </c>
      <c r="G282" s="156">
        <f t="shared" si="9"/>
        <v>796</v>
      </c>
    </row>
    <row r="283" spans="1:7" x14ac:dyDescent="0.25">
      <c r="A283" s="74"/>
      <c r="B283" s="77"/>
      <c r="C283" s="135" t="s">
        <v>121</v>
      </c>
      <c r="D283" s="143"/>
      <c r="E283" s="126">
        <v>200</v>
      </c>
      <c r="F283" s="146">
        <v>0.79</v>
      </c>
      <c r="G283" s="156">
        <f t="shared" si="9"/>
        <v>158</v>
      </c>
    </row>
    <row r="284" spans="1:7" x14ac:dyDescent="0.25">
      <c r="A284" s="74"/>
      <c r="B284" s="77"/>
      <c r="C284" s="135" t="s">
        <v>164</v>
      </c>
      <c r="D284" s="143"/>
      <c r="E284" s="126">
        <v>200</v>
      </c>
      <c r="F284" s="146">
        <v>1.58</v>
      </c>
      <c r="G284" s="156">
        <f t="shared" si="9"/>
        <v>316</v>
      </c>
    </row>
    <row r="285" spans="1:7" x14ac:dyDescent="0.25">
      <c r="A285" s="74"/>
      <c r="B285" s="77"/>
      <c r="C285" s="135" t="s">
        <v>147</v>
      </c>
      <c r="D285" s="143"/>
      <c r="E285" s="126">
        <v>20</v>
      </c>
      <c r="F285" s="146">
        <v>9.6</v>
      </c>
      <c r="G285" s="156">
        <f t="shared" si="9"/>
        <v>192</v>
      </c>
    </row>
    <row r="286" spans="1:7" x14ac:dyDescent="0.25">
      <c r="A286" s="74"/>
      <c r="B286" s="77"/>
      <c r="C286" s="135" t="s">
        <v>288</v>
      </c>
      <c r="D286" s="143"/>
      <c r="E286" s="126">
        <v>2</v>
      </c>
      <c r="F286" s="146">
        <v>895</v>
      </c>
      <c r="G286" s="156">
        <f t="shared" si="9"/>
        <v>1790</v>
      </c>
    </row>
    <row r="287" spans="1:7" x14ac:dyDescent="0.25">
      <c r="A287" s="74"/>
      <c r="B287" s="77"/>
      <c r="C287" s="135" t="s">
        <v>220</v>
      </c>
      <c r="D287" s="143"/>
      <c r="E287" s="126">
        <v>1</v>
      </c>
      <c r="F287" s="146">
        <v>1925</v>
      </c>
      <c r="G287" s="156">
        <f t="shared" si="9"/>
        <v>1925</v>
      </c>
    </row>
    <row r="288" spans="1:7" x14ac:dyDescent="0.25">
      <c r="A288" s="74"/>
      <c r="B288" s="77"/>
      <c r="C288" s="135" t="s">
        <v>149</v>
      </c>
      <c r="D288" s="143"/>
      <c r="E288" s="126">
        <v>20</v>
      </c>
      <c r="F288" s="146">
        <v>175</v>
      </c>
      <c r="G288" s="156">
        <f t="shared" si="9"/>
        <v>3500</v>
      </c>
    </row>
    <row r="289" spans="1:7" x14ac:dyDescent="0.25">
      <c r="A289" s="74"/>
      <c r="B289" s="77"/>
      <c r="C289" s="135" t="s">
        <v>150</v>
      </c>
      <c r="D289" s="143"/>
      <c r="E289" s="126">
        <v>7</v>
      </c>
      <c r="F289" s="146">
        <v>125</v>
      </c>
      <c r="G289" s="156">
        <f t="shared" si="9"/>
        <v>875</v>
      </c>
    </row>
    <row r="290" spans="1:7" x14ac:dyDescent="0.25">
      <c r="A290" s="74"/>
      <c r="B290" s="77"/>
      <c r="C290" s="135" t="s">
        <v>270</v>
      </c>
      <c r="D290" s="143"/>
      <c r="E290" s="126">
        <v>1</v>
      </c>
      <c r="F290" s="146">
        <v>882</v>
      </c>
      <c r="G290" s="156">
        <f t="shared" si="9"/>
        <v>882</v>
      </c>
    </row>
    <row r="291" spans="1:7" x14ac:dyDescent="0.25">
      <c r="A291" s="74"/>
      <c r="B291" s="77"/>
      <c r="C291" s="135" t="s">
        <v>56</v>
      </c>
      <c r="D291" s="143"/>
      <c r="E291" s="126">
        <v>5</v>
      </c>
      <c r="F291" s="146">
        <v>14.9</v>
      </c>
      <c r="G291" s="156">
        <f t="shared" si="9"/>
        <v>74.5</v>
      </c>
    </row>
    <row r="292" spans="1:7" x14ac:dyDescent="0.25">
      <c r="A292" s="74"/>
      <c r="B292" s="77"/>
      <c r="C292" s="135" t="s">
        <v>289</v>
      </c>
      <c r="D292" s="143"/>
      <c r="E292" s="126">
        <v>5</v>
      </c>
      <c r="F292" s="146">
        <v>79</v>
      </c>
      <c r="G292" s="156">
        <f t="shared" si="9"/>
        <v>395</v>
      </c>
    </row>
    <row r="293" spans="1:7" x14ac:dyDescent="0.25">
      <c r="A293" s="74"/>
      <c r="B293" s="77"/>
      <c r="C293" s="135" t="s">
        <v>271</v>
      </c>
      <c r="D293" s="143"/>
      <c r="E293" s="126">
        <v>52.5</v>
      </c>
      <c r="F293" s="146">
        <v>9.6</v>
      </c>
      <c r="G293" s="156">
        <f t="shared" si="9"/>
        <v>504</v>
      </c>
    </row>
    <row r="294" spans="1:7" x14ac:dyDescent="0.25">
      <c r="A294" s="74"/>
      <c r="B294" s="77"/>
      <c r="C294" s="135" t="s">
        <v>34</v>
      </c>
      <c r="D294" s="143"/>
      <c r="E294" s="126">
        <v>1</v>
      </c>
      <c r="F294" s="146">
        <v>39.700000000000003</v>
      </c>
      <c r="G294" s="156">
        <f t="shared" si="9"/>
        <v>39.700000000000003</v>
      </c>
    </row>
    <row r="295" spans="1:7" x14ac:dyDescent="0.25">
      <c r="A295" s="74"/>
      <c r="B295" s="77"/>
      <c r="C295" s="135" t="s">
        <v>86</v>
      </c>
      <c r="D295" s="143"/>
      <c r="E295" s="126">
        <v>3</v>
      </c>
      <c r="F295" s="146">
        <v>12.5</v>
      </c>
      <c r="G295" s="156">
        <f t="shared" si="9"/>
        <v>37.5</v>
      </c>
    </row>
    <row r="296" spans="1:7" x14ac:dyDescent="0.25">
      <c r="A296" s="74"/>
      <c r="B296" s="77"/>
      <c r="C296" s="135" t="s">
        <v>14</v>
      </c>
      <c r="D296" s="143"/>
      <c r="E296" s="126">
        <v>30</v>
      </c>
      <c r="F296" s="146">
        <v>13.7</v>
      </c>
      <c r="G296" s="156">
        <f t="shared" si="9"/>
        <v>411</v>
      </c>
    </row>
    <row r="297" spans="1:7" x14ac:dyDescent="0.25">
      <c r="A297" s="74"/>
      <c r="B297" s="77"/>
      <c r="C297" s="135" t="s">
        <v>90</v>
      </c>
      <c r="D297" s="143"/>
      <c r="E297" s="126">
        <v>30</v>
      </c>
      <c r="F297" s="146">
        <v>37.200000000000003</v>
      </c>
      <c r="G297" s="156">
        <f t="shared" si="9"/>
        <v>1116</v>
      </c>
    </row>
    <row r="298" spans="1:7" x14ac:dyDescent="0.25">
      <c r="A298" s="74"/>
      <c r="B298" s="77"/>
      <c r="C298" s="135" t="s">
        <v>153</v>
      </c>
      <c r="D298" s="143"/>
      <c r="E298" s="126">
        <v>12</v>
      </c>
      <c r="F298" s="146">
        <v>55</v>
      </c>
      <c r="G298" s="156">
        <f t="shared" si="9"/>
        <v>660</v>
      </c>
    </row>
    <row r="299" spans="1:7" x14ac:dyDescent="0.25">
      <c r="A299" s="74"/>
      <c r="B299" s="77"/>
      <c r="C299" s="135" t="s">
        <v>204</v>
      </c>
      <c r="D299" s="143"/>
      <c r="E299" s="126">
        <f>1+12+12</f>
        <v>25</v>
      </c>
      <c r="F299" s="146"/>
      <c r="G299" s="156">
        <f>470+1158+816</f>
        <v>2444</v>
      </c>
    </row>
    <row r="300" spans="1:7" x14ac:dyDescent="0.25">
      <c r="A300" s="74"/>
      <c r="B300" s="77"/>
      <c r="C300" s="135" t="s">
        <v>156</v>
      </c>
      <c r="D300" s="143"/>
      <c r="E300" s="126">
        <v>20</v>
      </c>
      <c r="F300" s="146">
        <v>38.86</v>
      </c>
      <c r="G300" s="156">
        <f t="shared" si="9"/>
        <v>777.2</v>
      </c>
    </row>
    <row r="301" spans="1:7" x14ac:dyDescent="0.25">
      <c r="A301" s="74"/>
      <c r="B301" s="77"/>
      <c r="C301" s="135" t="s">
        <v>157</v>
      </c>
      <c r="D301" s="143"/>
      <c r="E301" s="126">
        <v>1</v>
      </c>
      <c r="F301" s="146">
        <v>416.94</v>
      </c>
      <c r="G301" s="156">
        <f t="shared" si="9"/>
        <v>416.94</v>
      </c>
    </row>
    <row r="302" spans="1:7" x14ac:dyDescent="0.25">
      <c r="A302" s="74"/>
      <c r="B302" s="77"/>
      <c r="C302" s="135" t="s">
        <v>158</v>
      </c>
      <c r="D302" s="143" t="s">
        <v>7</v>
      </c>
      <c r="E302" s="126">
        <v>3</v>
      </c>
      <c r="F302" s="146">
        <v>302.5</v>
      </c>
      <c r="G302" s="156">
        <f t="shared" si="9"/>
        <v>907.5</v>
      </c>
    </row>
    <row r="303" spans="1:7" x14ac:dyDescent="0.25">
      <c r="A303" s="74"/>
      <c r="B303" s="77"/>
      <c r="C303" s="135" t="s">
        <v>223</v>
      </c>
      <c r="D303" s="143" t="s">
        <v>7</v>
      </c>
      <c r="E303" s="126">
        <v>10</v>
      </c>
      <c r="F303" s="146">
        <v>45.9</v>
      </c>
      <c r="G303" s="156">
        <f t="shared" si="9"/>
        <v>459</v>
      </c>
    </row>
    <row r="304" spans="1:7" x14ac:dyDescent="0.25">
      <c r="A304" s="74"/>
      <c r="B304" s="77"/>
      <c r="C304" s="135" t="s">
        <v>94</v>
      </c>
      <c r="D304" s="143" t="s">
        <v>7</v>
      </c>
      <c r="E304" s="126">
        <v>10</v>
      </c>
      <c r="F304" s="146">
        <v>68</v>
      </c>
      <c r="G304" s="156">
        <f t="shared" si="9"/>
        <v>680</v>
      </c>
    </row>
    <row r="305" spans="1:7" x14ac:dyDescent="0.25">
      <c r="A305" s="74"/>
      <c r="B305" s="77"/>
      <c r="C305" s="135" t="s">
        <v>160</v>
      </c>
      <c r="D305" s="143" t="s">
        <v>7</v>
      </c>
      <c r="E305" s="126">
        <v>5</v>
      </c>
      <c r="F305" s="146">
        <v>150</v>
      </c>
      <c r="G305" s="156">
        <f t="shared" si="9"/>
        <v>750</v>
      </c>
    </row>
    <row r="306" spans="1:7" x14ac:dyDescent="0.25">
      <c r="A306" s="75"/>
      <c r="B306" s="78"/>
      <c r="C306" s="135" t="s">
        <v>290</v>
      </c>
      <c r="D306" s="143" t="s">
        <v>124</v>
      </c>
      <c r="E306" s="126" t="s">
        <v>286</v>
      </c>
      <c r="F306" s="146">
        <v>42.12</v>
      </c>
      <c r="G306" s="156">
        <v>673.99</v>
      </c>
    </row>
    <row r="307" spans="1:7" x14ac:dyDescent="0.25">
      <c r="A307" s="123"/>
      <c r="B307" s="123"/>
      <c r="C307" s="136" t="s">
        <v>9</v>
      </c>
      <c r="D307" s="123"/>
      <c r="E307" s="124"/>
      <c r="F307" s="145"/>
      <c r="G307" s="145">
        <f>SUM(G274:G306)</f>
        <v>68833.22</v>
      </c>
    </row>
    <row r="308" spans="1:7" x14ac:dyDescent="0.25">
      <c r="A308" s="67">
        <v>12</v>
      </c>
      <c r="B308" s="70" t="s">
        <v>38</v>
      </c>
      <c r="C308" s="135" t="s">
        <v>143</v>
      </c>
      <c r="D308" s="143" t="s">
        <v>7</v>
      </c>
      <c r="E308" s="122">
        <v>2</v>
      </c>
      <c r="F308" s="144">
        <v>5046.66</v>
      </c>
      <c r="G308" s="156">
        <f>E308*F308</f>
        <v>10093.32</v>
      </c>
    </row>
    <row r="309" spans="1:7" x14ac:dyDescent="0.25">
      <c r="A309" s="68"/>
      <c r="B309" s="71"/>
      <c r="C309" s="135" t="s">
        <v>181</v>
      </c>
      <c r="D309" s="143" t="s">
        <v>7</v>
      </c>
      <c r="E309" s="122">
        <v>4</v>
      </c>
      <c r="F309" s="144">
        <v>682.4</v>
      </c>
      <c r="G309" s="156">
        <f t="shared" ref="G309:G311" si="10">E309*F309</f>
        <v>2729.6</v>
      </c>
    </row>
    <row r="310" spans="1:7" x14ac:dyDescent="0.25">
      <c r="A310" s="68"/>
      <c r="B310" s="71"/>
      <c r="C310" s="135" t="s">
        <v>165</v>
      </c>
      <c r="D310" s="143" t="s">
        <v>7</v>
      </c>
      <c r="E310" s="122">
        <v>1</v>
      </c>
      <c r="F310" s="144">
        <v>1974.78</v>
      </c>
      <c r="G310" s="156">
        <f t="shared" si="10"/>
        <v>1974.78</v>
      </c>
    </row>
    <row r="311" spans="1:7" x14ac:dyDescent="0.25">
      <c r="A311" s="69"/>
      <c r="B311" s="72"/>
      <c r="C311" s="135" t="s">
        <v>214</v>
      </c>
      <c r="D311" s="143" t="s">
        <v>7</v>
      </c>
      <c r="E311" s="122">
        <v>15</v>
      </c>
      <c r="F311" s="144">
        <v>1500</v>
      </c>
      <c r="G311" s="156">
        <f t="shared" si="10"/>
        <v>22500</v>
      </c>
    </row>
    <row r="312" spans="1:7" x14ac:dyDescent="0.25">
      <c r="A312" s="123"/>
      <c r="B312" s="123"/>
      <c r="C312" s="136" t="s">
        <v>9</v>
      </c>
      <c r="D312" s="123"/>
      <c r="E312" s="124"/>
      <c r="F312" s="145"/>
      <c r="G312" s="145">
        <f>SUM(G308:G311)</f>
        <v>37297.699999999997</v>
      </c>
    </row>
    <row r="313" spans="1:7" s="148" customFormat="1" x14ac:dyDescent="0.25">
      <c r="A313" s="73">
        <v>13</v>
      </c>
      <c r="B313" s="76" t="s">
        <v>39</v>
      </c>
      <c r="C313" s="137" t="s">
        <v>216</v>
      </c>
      <c r="D313" s="125" t="s">
        <v>19</v>
      </c>
      <c r="E313" s="126">
        <v>1000</v>
      </c>
      <c r="F313" s="146">
        <v>1</v>
      </c>
      <c r="G313" s="156">
        <f>E313*F313</f>
        <v>1000</v>
      </c>
    </row>
    <row r="314" spans="1:7" s="148" customFormat="1" x14ac:dyDescent="0.25">
      <c r="A314" s="74"/>
      <c r="B314" s="77"/>
      <c r="C314" s="137" t="s">
        <v>217</v>
      </c>
      <c r="D314" s="125" t="s">
        <v>7</v>
      </c>
      <c r="E314" s="126">
        <v>1</v>
      </c>
      <c r="F314" s="146">
        <v>350</v>
      </c>
      <c r="G314" s="156">
        <f t="shared" ref="G314:G316" si="11">E314*F314</f>
        <v>350</v>
      </c>
    </row>
    <row r="315" spans="1:7" x14ac:dyDescent="0.25">
      <c r="A315" s="74"/>
      <c r="B315" s="77"/>
      <c r="C315" s="135" t="s">
        <v>31</v>
      </c>
      <c r="D315" s="143" t="s">
        <v>7</v>
      </c>
      <c r="E315" s="122">
        <v>120</v>
      </c>
      <c r="F315" s="144">
        <v>5</v>
      </c>
      <c r="G315" s="156">
        <f t="shared" si="11"/>
        <v>600</v>
      </c>
    </row>
    <row r="316" spans="1:7" x14ac:dyDescent="0.25">
      <c r="A316" s="75"/>
      <c r="B316" s="78"/>
      <c r="C316" s="135" t="s">
        <v>218</v>
      </c>
      <c r="D316" s="143" t="s">
        <v>7</v>
      </c>
      <c r="E316" s="122">
        <v>1</v>
      </c>
      <c r="F316" s="144">
        <v>160</v>
      </c>
      <c r="G316" s="156">
        <f t="shared" si="11"/>
        <v>160</v>
      </c>
    </row>
    <row r="317" spans="1:7" x14ac:dyDescent="0.25">
      <c r="A317" s="123"/>
      <c r="B317" s="123"/>
      <c r="C317" s="136" t="s">
        <v>9</v>
      </c>
      <c r="D317" s="123"/>
      <c r="E317" s="124"/>
      <c r="F317" s="145"/>
      <c r="G317" s="145">
        <f>SUM(G313:G316)</f>
        <v>2110</v>
      </c>
    </row>
    <row r="318" spans="1:7" s="148" customFormat="1" hidden="1" x14ac:dyDescent="0.25">
      <c r="A318" s="125"/>
      <c r="B318" s="125" t="s">
        <v>141</v>
      </c>
      <c r="C318" s="135"/>
      <c r="D318" s="143"/>
      <c r="E318" s="122"/>
      <c r="F318" s="144"/>
      <c r="G318" s="144">
        <f>E318*F318</f>
        <v>0</v>
      </c>
    </row>
    <row r="319" spans="1:7" hidden="1" x14ac:dyDescent="0.25">
      <c r="A319" s="123"/>
      <c r="B319" s="123"/>
      <c r="C319" s="136" t="s">
        <v>9</v>
      </c>
      <c r="D319" s="123"/>
      <c r="E319" s="124"/>
      <c r="F319" s="145"/>
      <c r="G319" s="145">
        <f>SUM(G318)</f>
        <v>0</v>
      </c>
    </row>
    <row r="320" spans="1:7" x14ac:dyDescent="0.25">
      <c r="A320" s="67">
        <v>14</v>
      </c>
      <c r="B320" s="70" t="s">
        <v>92</v>
      </c>
      <c r="C320" s="135" t="s">
        <v>126</v>
      </c>
      <c r="D320" s="143" t="s">
        <v>76</v>
      </c>
      <c r="E320" s="122">
        <v>66.665999999999997</v>
      </c>
      <c r="F320" s="144">
        <v>48</v>
      </c>
      <c r="G320" s="156">
        <v>3200</v>
      </c>
    </row>
    <row r="321" spans="1:7" x14ac:dyDescent="0.25">
      <c r="A321" s="68"/>
      <c r="B321" s="71"/>
      <c r="C321" s="135" t="s">
        <v>287</v>
      </c>
      <c r="D321" s="143" t="s">
        <v>7</v>
      </c>
      <c r="E321" s="122">
        <v>5</v>
      </c>
      <c r="F321" s="144">
        <v>215</v>
      </c>
      <c r="G321" s="146">
        <f t="shared" ref="G321:G351" si="12">E321*F321</f>
        <v>1075</v>
      </c>
    </row>
    <row r="322" spans="1:7" x14ac:dyDescent="0.25">
      <c r="A322" s="68"/>
      <c r="B322" s="71"/>
      <c r="C322" s="135" t="s">
        <v>109</v>
      </c>
      <c r="D322" s="143" t="s">
        <v>7</v>
      </c>
      <c r="E322" s="126">
        <v>5</v>
      </c>
      <c r="F322" s="146">
        <v>20</v>
      </c>
      <c r="G322" s="146">
        <f t="shared" si="12"/>
        <v>100</v>
      </c>
    </row>
    <row r="323" spans="1:7" x14ac:dyDescent="0.25">
      <c r="A323" s="68"/>
      <c r="B323" s="71"/>
      <c r="C323" s="135" t="s">
        <v>172</v>
      </c>
      <c r="D323" s="143" t="s">
        <v>7</v>
      </c>
      <c r="E323" s="126">
        <v>200</v>
      </c>
      <c r="F323" s="146">
        <v>0.65</v>
      </c>
      <c r="G323" s="146">
        <f t="shared" si="12"/>
        <v>130</v>
      </c>
    </row>
    <row r="324" spans="1:7" x14ac:dyDescent="0.25">
      <c r="A324" s="68"/>
      <c r="B324" s="71"/>
      <c r="C324" s="135" t="s">
        <v>146</v>
      </c>
      <c r="D324" s="143" t="s">
        <v>7</v>
      </c>
      <c r="E324" s="126">
        <v>400</v>
      </c>
      <c r="F324" s="146">
        <v>2.37</v>
      </c>
      <c r="G324" s="146">
        <f t="shared" si="12"/>
        <v>948</v>
      </c>
    </row>
    <row r="325" spans="1:7" x14ac:dyDescent="0.25">
      <c r="A325" s="68"/>
      <c r="B325" s="71"/>
      <c r="C325" s="135" t="s">
        <v>121</v>
      </c>
      <c r="D325" s="143" t="s">
        <v>7</v>
      </c>
      <c r="E325" s="126">
        <v>200</v>
      </c>
      <c r="F325" s="146">
        <v>1.38</v>
      </c>
      <c r="G325" s="146">
        <f t="shared" si="12"/>
        <v>276</v>
      </c>
    </row>
    <row r="326" spans="1:7" x14ac:dyDescent="0.25">
      <c r="A326" s="68"/>
      <c r="B326" s="71"/>
      <c r="C326" s="135" t="s">
        <v>164</v>
      </c>
      <c r="D326" s="143" t="s">
        <v>7</v>
      </c>
      <c r="E326" s="126">
        <v>200</v>
      </c>
      <c r="F326" s="146">
        <v>1.5</v>
      </c>
      <c r="G326" s="146">
        <f t="shared" si="12"/>
        <v>300</v>
      </c>
    </row>
    <row r="327" spans="1:7" x14ac:dyDescent="0.25">
      <c r="A327" s="68"/>
      <c r="B327" s="71"/>
      <c r="C327" s="135" t="s">
        <v>147</v>
      </c>
      <c r="D327" s="143" t="s">
        <v>7</v>
      </c>
      <c r="E327" s="126">
        <v>20</v>
      </c>
      <c r="F327" s="146">
        <v>9.6</v>
      </c>
      <c r="G327" s="146">
        <f t="shared" si="12"/>
        <v>192</v>
      </c>
    </row>
    <row r="328" spans="1:7" x14ac:dyDescent="0.25">
      <c r="A328" s="68"/>
      <c r="B328" s="71"/>
      <c r="C328" s="135" t="s">
        <v>288</v>
      </c>
      <c r="D328" s="143" t="s">
        <v>162</v>
      </c>
      <c r="E328" s="126">
        <v>2</v>
      </c>
      <c r="F328" s="146">
        <v>690</v>
      </c>
      <c r="G328" s="146">
        <f t="shared" si="12"/>
        <v>1380</v>
      </c>
    </row>
    <row r="329" spans="1:7" x14ac:dyDescent="0.25">
      <c r="A329" s="68"/>
      <c r="B329" s="71"/>
      <c r="C329" s="135" t="s">
        <v>291</v>
      </c>
      <c r="D329" s="143" t="s">
        <v>7</v>
      </c>
      <c r="E329" s="126">
        <v>1</v>
      </c>
      <c r="F329" s="146">
        <v>200</v>
      </c>
      <c r="G329" s="146">
        <f t="shared" si="12"/>
        <v>200</v>
      </c>
    </row>
    <row r="330" spans="1:7" x14ac:dyDescent="0.25">
      <c r="A330" s="68"/>
      <c r="B330" s="71"/>
      <c r="C330" s="135" t="s">
        <v>149</v>
      </c>
      <c r="D330" s="143" t="s">
        <v>7</v>
      </c>
      <c r="E330" s="126">
        <v>20</v>
      </c>
      <c r="F330" s="146">
        <v>140</v>
      </c>
      <c r="G330" s="146">
        <f t="shared" si="12"/>
        <v>2800</v>
      </c>
    </row>
    <row r="331" spans="1:7" x14ac:dyDescent="0.25">
      <c r="A331" s="68"/>
      <c r="B331" s="71"/>
      <c r="C331" s="135" t="s">
        <v>150</v>
      </c>
      <c r="D331" s="143" t="s">
        <v>7</v>
      </c>
      <c r="E331" s="126">
        <v>7</v>
      </c>
      <c r="F331" s="146">
        <v>170</v>
      </c>
      <c r="G331" s="146">
        <f t="shared" si="12"/>
        <v>1190</v>
      </c>
    </row>
    <row r="332" spans="1:7" x14ac:dyDescent="0.25">
      <c r="A332" s="68"/>
      <c r="B332" s="71"/>
      <c r="C332" s="135" t="s">
        <v>292</v>
      </c>
      <c r="D332" s="143" t="s">
        <v>7</v>
      </c>
      <c r="E332" s="126">
        <v>1</v>
      </c>
      <c r="F332" s="146">
        <v>900</v>
      </c>
      <c r="G332" s="146">
        <f t="shared" si="12"/>
        <v>900</v>
      </c>
    </row>
    <row r="333" spans="1:7" x14ac:dyDescent="0.25">
      <c r="A333" s="68"/>
      <c r="B333" s="71"/>
      <c r="C333" s="135" t="s">
        <v>56</v>
      </c>
      <c r="D333" s="143" t="s">
        <v>163</v>
      </c>
      <c r="E333" s="126">
        <v>5</v>
      </c>
      <c r="F333" s="146">
        <v>35</v>
      </c>
      <c r="G333" s="146">
        <f t="shared" si="12"/>
        <v>175</v>
      </c>
    </row>
    <row r="334" spans="1:7" x14ac:dyDescent="0.25">
      <c r="A334" s="68"/>
      <c r="B334" s="71"/>
      <c r="C334" s="135" t="s">
        <v>289</v>
      </c>
      <c r="D334" s="143" t="s">
        <v>163</v>
      </c>
      <c r="E334" s="126">
        <v>5</v>
      </c>
      <c r="F334" s="146">
        <v>150</v>
      </c>
      <c r="G334" s="146">
        <f t="shared" si="12"/>
        <v>750</v>
      </c>
    </row>
    <row r="335" spans="1:7" x14ac:dyDescent="0.25">
      <c r="A335" s="68"/>
      <c r="B335" s="71"/>
      <c r="C335" s="135" t="s">
        <v>271</v>
      </c>
      <c r="D335" s="143" t="s">
        <v>76</v>
      </c>
      <c r="E335" s="126">
        <v>52.5</v>
      </c>
      <c r="F335" s="146">
        <v>12</v>
      </c>
      <c r="G335" s="146">
        <f t="shared" si="12"/>
        <v>630</v>
      </c>
    </row>
    <row r="336" spans="1:7" x14ac:dyDescent="0.25">
      <c r="A336" s="68"/>
      <c r="B336" s="71"/>
      <c r="C336" s="135" t="s">
        <v>34</v>
      </c>
      <c r="D336" s="143" t="s">
        <v>7</v>
      </c>
      <c r="E336" s="126">
        <v>1</v>
      </c>
      <c r="F336" s="146">
        <v>50</v>
      </c>
      <c r="G336" s="146">
        <f t="shared" si="12"/>
        <v>50</v>
      </c>
    </row>
    <row r="337" spans="1:7" x14ac:dyDescent="0.25">
      <c r="A337" s="68"/>
      <c r="B337" s="71"/>
      <c r="C337" s="135" t="s">
        <v>86</v>
      </c>
      <c r="D337" s="143" t="s">
        <v>7</v>
      </c>
      <c r="E337" s="126">
        <v>3</v>
      </c>
      <c r="F337" s="146">
        <v>15</v>
      </c>
      <c r="G337" s="146">
        <f t="shared" si="12"/>
        <v>45</v>
      </c>
    </row>
    <row r="338" spans="1:7" x14ac:dyDescent="0.25">
      <c r="A338" s="68"/>
      <c r="B338" s="71"/>
      <c r="C338" s="135" t="s">
        <v>14</v>
      </c>
      <c r="D338" s="143" t="s">
        <v>7</v>
      </c>
      <c r="E338" s="126">
        <v>30</v>
      </c>
      <c r="F338" s="146">
        <v>11</v>
      </c>
      <c r="G338" s="146">
        <f t="shared" si="12"/>
        <v>330</v>
      </c>
    </row>
    <row r="339" spans="1:7" x14ac:dyDescent="0.25">
      <c r="A339" s="68"/>
      <c r="B339" s="71"/>
      <c r="C339" s="135" t="s">
        <v>90</v>
      </c>
      <c r="D339" s="143" t="s">
        <v>7</v>
      </c>
      <c r="E339" s="126">
        <v>30</v>
      </c>
      <c r="F339" s="146">
        <v>54</v>
      </c>
      <c r="G339" s="146">
        <f t="shared" si="12"/>
        <v>1620</v>
      </c>
    </row>
    <row r="340" spans="1:7" x14ac:dyDescent="0.25">
      <c r="A340" s="68"/>
      <c r="B340" s="71"/>
      <c r="C340" s="135" t="s">
        <v>153</v>
      </c>
      <c r="D340" s="143" t="s">
        <v>7</v>
      </c>
      <c r="E340" s="126">
        <v>12</v>
      </c>
      <c r="F340" s="146">
        <v>40</v>
      </c>
      <c r="G340" s="146">
        <f t="shared" si="12"/>
        <v>480</v>
      </c>
    </row>
    <row r="341" spans="1:7" x14ac:dyDescent="0.25">
      <c r="A341" s="68"/>
      <c r="B341" s="71"/>
      <c r="C341" s="135" t="s">
        <v>204</v>
      </c>
      <c r="D341" s="143" t="s">
        <v>7</v>
      </c>
      <c r="E341" s="126">
        <v>25</v>
      </c>
      <c r="F341" s="146"/>
      <c r="G341" s="146">
        <f>560+924+1020</f>
        <v>2504</v>
      </c>
    </row>
    <row r="342" spans="1:7" x14ac:dyDescent="0.25">
      <c r="A342" s="68"/>
      <c r="B342" s="71"/>
      <c r="C342" s="135" t="s">
        <v>156</v>
      </c>
      <c r="D342" s="143" t="s">
        <v>7</v>
      </c>
      <c r="E342" s="126">
        <v>20</v>
      </c>
      <c r="F342" s="146">
        <v>75</v>
      </c>
      <c r="G342" s="146">
        <f t="shared" si="12"/>
        <v>1500</v>
      </c>
    </row>
    <row r="343" spans="1:7" x14ac:dyDescent="0.25">
      <c r="A343" s="68"/>
      <c r="B343" s="71"/>
      <c r="C343" s="135" t="s">
        <v>157</v>
      </c>
      <c r="D343" s="143" t="s">
        <v>293</v>
      </c>
      <c r="E343" s="126">
        <v>1</v>
      </c>
      <c r="F343" s="146">
        <v>245</v>
      </c>
      <c r="G343" s="146">
        <f t="shared" si="12"/>
        <v>245</v>
      </c>
    </row>
    <row r="344" spans="1:7" x14ac:dyDescent="0.25">
      <c r="A344" s="68"/>
      <c r="B344" s="71"/>
      <c r="C344" s="135" t="s">
        <v>158</v>
      </c>
      <c r="D344" s="143" t="s">
        <v>163</v>
      </c>
      <c r="E344" s="126">
        <v>3</v>
      </c>
      <c r="F344" s="146">
        <v>325</v>
      </c>
      <c r="G344" s="146">
        <f t="shared" si="12"/>
        <v>975</v>
      </c>
    </row>
    <row r="345" spans="1:7" x14ac:dyDescent="0.25">
      <c r="A345" s="68"/>
      <c r="B345" s="71"/>
      <c r="C345" s="135" t="s">
        <v>223</v>
      </c>
      <c r="D345" s="143" t="s">
        <v>163</v>
      </c>
      <c r="E345" s="126">
        <v>10</v>
      </c>
      <c r="F345" s="146">
        <v>70</v>
      </c>
      <c r="G345" s="146">
        <f t="shared" si="12"/>
        <v>700</v>
      </c>
    </row>
    <row r="346" spans="1:7" x14ac:dyDescent="0.25">
      <c r="A346" s="68"/>
      <c r="B346" s="71"/>
      <c r="C346" s="135" t="s">
        <v>94</v>
      </c>
      <c r="D346" s="143" t="s">
        <v>163</v>
      </c>
      <c r="E346" s="126">
        <v>10</v>
      </c>
      <c r="F346" s="146">
        <v>45</v>
      </c>
      <c r="G346" s="146">
        <f t="shared" si="12"/>
        <v>450</v>
      </c>
    </row>
    <row r="347" spans="1:7" x14ac:dyDescent="0.25">
      <c r="A347" s="68"/>
      <c r="B347" s="71"/>
      <c r="C347" s="135" t="s">
        <v>160</v>
      </c>
      <c r="D347" s="143" t="s">
        <v>7</v>
      </c>
      <c r="E347" s="126">
        <v>5</v>
      </c>
      <c r="F347" s="146">
        <v>500</v>
      </c>
      <c r="G347" s="146">
        <f t="shared" si="12"/>
        <v>2500</v>
      </c>
    </row>
    <row r="348" spans="1:7" x14ac:dyDescent="0.25">
      <c r="A348" s="68"/>
      <c r="B348" s="71"/>
      <c r="C348" s="135" t="s">
        <v>85</v>
      </c>
      <c r="D348" s="143" t="s">
        <v>7</v>
      </c>
      <c r="E348" s="126">
        <v>30</v>
      </c>
      <c r="F348" s="146">
        <v>1073</v>
      </c>
      <c r="G348" s="146">
        <f t="shared" si="12"/>
        <v>32190</v>
      </c>
    </row>
    <row r="349" spans="1:7" x14ac:dyDescent="0.25">
      <c r="A349" s="68"/>
      <c r="B349" s="71"/>
      <c r="C349" s="135" t="s">
        <v>143</v>
      </c>
      <c r="D349" s="143" t="s">
        <v>7</v>
      </c>
      <c r="E349" s="126">
        <v>1</v>
      </c>
      <c r="F349" s="146">
        <v>5046.66</v>
      </c>
      <c r="G349" s="146">
        <f t="shared" si="12"/>
        <v>5046.66</v>
      </c>
    </row>
    <row r="350" spans="1:7" x14ac:dyDescent="0.25">
      <c r="A350" s="68"/>
      <c r="B350" s="71"/>
      <c r="C350" s="135" t="s">
        <v>181</v>
      </c>
      <c r="D350" s="143" t="s">
        <v>7</v>
      </c>
      <c r="E350" s="126">
        <v>4</v>
      </c>
      <c r="F350" s="146">
        <v>682.4</v>
      </c>
      <c r="G350" s="146">
        <f t="shared" si="12"/>
        <v>2729.6</v>
      </c>
    </row>
    <row r="351" spans="1:7" x14ac:dyDescent="0.25">
      <c r="A351" s="69"/>
      <c r="B351" s="72"/>
      <c r="C351" s="135" t="s">
        <v>165</v>
      </c>
      <c r="D351" s="143" t="s">
        <v>7</v>
      </c>
      <c r="E351" s="126">
        <v>1</v>
      </c>
      <c r="F351" s="146">
        <v>1974.78</v>
      </c>
      <c r="G351" s="146">
        <f t="shared" si="12"/>
        <v>1974.78</v>
      </c>
    </row>
    <row r="352" spans="1:7" x14ac:dyDescent="0.25">
      <c r="A352" s="123"/>
      <c r="B352" s="123"/>
      <c r="C352" s="136" t="s">
        <v>9</v>
      </c>
      <c r="D352" s="123"/>
      <c r="E352" s="124"/>
      <c r="F352" s="145"/>
      <c r="G352" s="145">
        <f>SUM(G320:G351)</f>
        <v>67586.040000000008</v>
      </c>
    </row>
    <row r="353" spans="1:7" hidden="1" x14ac:dyDescent="0.25">
      <c r="A353" s="125"/>
      <c r="B353" s="125" t="s">
        <v>41</v>
      </c>
      <c r="C353" s="135"/>
      <c r="D353" s="143"/>
      <c r="E353" s="122"/>
      <c r="F353" s="144"/>
      <c r="G353" s="144">
        <f>E353*F353</f>
        <v>0</v>
      </c>
    </row>
    <row r="354" spans="1:7" hidden="1" x14ac:dyDescent="0.25">
      <c r="A354" s="123"/>
      <c r="B354" s="123"/>
      <c r="C354" s="136" t="s">
        <v>9</v>
      </c>
      <c r="D354" s="123"/>
      <c r="E354" s="124"/>
      <c r="F354" s="145"/>
      <c r="G354" s="145">
        <f>SUM(G353)</f>
        <v>0</v>
      </c>
    </row>
    <row r="355" spans="1:7" ht="26.25" x14ac:dyDescent="0.25">
      <c r="A355" s="125">
        <v>15</v>
      </c>
      <c r="B355" s="65" t="s">
        <v>70</v>
      </c>
      <c r="C355" s="135" t="s">
        <v>294</v>
      </c>
      <c r="D355" s="143" t="s">
        <v>7</v>
      </c>
      <c r="E355" s="122">
        <v>12</v>
      </c>
      <c r="F355" s="144">
        <v>1807.5</v>
      </c>
      <c r="G355" s="144">
        <f>E355*F355</f>
        <v>21690</v>
      </c>
    </row>
    <row r="356" spans="1:7" x14ac:dyDescent="0.25">
      <c r="A356" s="123"/>
      <c r="B356" s="123"/>
      <c r="C356" s="136" t="s">
        <v>9</v>
      </c>
      <c r="D356" s="123"/>
      <c r="E356" s="124"/>
      <c r="F356" s="145"/>
      <c r="G356" s="145">
        <f>SUM(G355)</f>
        <v>21690</v>
      </c>
    </row>
    <row r="357" spans="1:7" x14ac:dyDescent="0.25">
      <c r="A357" s="67">
        <v>16</v>
      </c>
      <c r="B357" s="70" t="s">
        <v>96</v>
      </c>
      <c r="C357" s="135" t="s">
        <v>144</v>
      </c>
      <c r="D357" s="143" t="s">
        <v>7</v>
      </c>
      <c r="E357" s="122">
        <v>5</v>
      </c>
      <c r="F357" s="144">
        <v>648</v>
      </c>
      <c r="G357" s="146">
        <f>E357*F357</f>
        <v>3240</v>
      </c>
    </row>
    <row r="358" spans="1:7" x14ac:dyDescent="0.25">
      <c r="A358" s="68"/>
      <c r="B358" s="71"/>
      <c r="C358" s="135" t="s">
        <v>172</v>
      </c>
      <c r="D358" s="143" t="s">
        <v>7</v>
      </c>
      <c r="E358" s="122">
        <v>200</v>
      </c>
      <c r="F358" s="144">
        <v>1.33</v>
      </c>
      <c r="G358" s="146">
        <f t="shared" ref="G358:G387" si="13">E358*F358</f>
        <v>266</v>
      </c>
    </row>
    <row r="359" spans="1:7" x14ac:dyDescent="0.25">
      <c r="A359" s="68"/>
      <c r="B359" s="71"/>
      <c r="C359" s="135" t="s">
        <v>203</v>
      </c>
      <c r="D359" s="143" t="s">
        <v>7</v>
      </c>
      <c r="E359" s="122">
        <v>400</v>
      </c>
      <c r="F359" s="144">
        <v>1.99</v>
      </c>
      <c r="G359" s="146">
        <f t="shared" si="13"/>
        <v>796</v>
      </c>
    </row>
    <row r="360" spans="1:7" x14ac:dyDescent="0.25">
      <c r="A360" s="68"/>
      <c r="B360" s="71"/>
      <c r="C360" s="135" t="s">
        <v>121</v>
      </c>
      <c r="D360" s="143" t="s">
        <v>7</v>
      </c>
      <c r="E360" s="122">
        <v>200</v>
      </c>
      <c r="F360" s="144">
        <v>0.79</v>
      </c>
      <c r="G360" s="146">
        <f t="shared" si="13"/>
        <v>158</v>
      </c>
    </row>
    <row r="361" spans="1:7" x14ac:dyDescent="0.25">
      <c r="A361" s="68"/>
      <c r="B361" s="71"/>
      <c r="C361" s="135" t="s">
        <v>164</v>
      </c>
      <c r="D361" s="143" t="s">
        <v>7</v>
      </c>
      <c r="E361" s="122">
        <v>200</v>
      </c>
      <c r="F361" s="144">
        <v>1.58</v>
      </c>
      <c r="G361" s="146">
        <f t="shared" si="13"/>
        <v>316</v>
      </c>
    </row>
    <row r="362" spans="1:7" x14ac:dyDescent="0.25">
      <c r="A362" s="68"/>
      <c r="B362" s="71"/>
      <c r="C362" s="135" t="s">
        <v>147</v>
      </c>
      <c r="D362" s="143" t="s">
        <v>7</v>
      </c>
      <c r="E362" s="122">
        <v>20</v>
      </c>
      <c r="F362" s="144">
        <v>9.6</v>
      </c>
      <c r="G362" s="146">
        <f t="shared" si="13"/>
        <v>192</v>
      </c>
    </row>
    <row r="363" spans="1:7" x14ac:dyDescent="0.25">
      <c r="A363" s="68"/>
      <c r="B363" s="71"/>
      <c r="C363" s="135" t="s">
        <v>219</v>
      </c>
      <c r="D363" s="143" t="s">
        <v>7</v>
      </c>
      <c r="E363" s="122">
        <v>2</v>
      </c>
      <c r="F363" s="144">
        <v>895</v>
      </c>
      <c r="G363" s="146">
        <f t="shared" si="13"/>
        <v>1790</v>
      </c>
    </row>
    <row r="364" spans="1:7" x14ac:dyDescent="0.25">
      <c r="A364" s="68"/>
      <c r="B364" s="71"/>
      <c r="C364" s="135" t="s">
        <v>220</v>
      </c>
      <c r="D364" s="143" t="s">
        <v>7</v>
      </c>
      <c r="E364" s="122">
        <v>1</v>
      </c>
      <c r="F364" s="144">
        <v>1925</v>
      </c>
      <c r="G364" s="146">
        <f t="shared" si="13"/>
        <v>1925</v>
      </c>
    </row>
    <row r="365" spans="1:7" x14ac:dyDescent="0.25">
      <c r="A365" s="68"/>
      <c r="B365" s="71"/>
      <c r="C365" s="135" t="s">
        <v>149</v>
      </c>
      <c r="D365" s="143" t="s">
        <v>7</v>
      </c>
      <c r="E365" s="122">
        <v>20</v>
      </c>
      <c r="F365" s="144">
        <v>175</v>
      </c>
      <c r="G365" s="146">
        <f t="shared" si="13"/>
        <v>3500</v>
      </c>
    </row>
    <row r="366" spans="1:7" x14ac:dyDescent="0.25">
      <c r="A366" s="68"/>
      <c r="B366" s="71"/>
      <c r="C366" s="135" t="s">
        <v>59</v>
      </c>
      <c r="D366" s="143" t="s">
        <v>7</v>
      </c>
      <c r="E366" s="122">
        <v>7</v>
      </c>
      <c r="F366" s="144">
        <v>125</v>
      </c>
      <c r="G366" s="146">
        <f t="shared" si="13"/>
        <v>875</v>
      </c>
    </row>
    <row r="367" spans="1:7" x14ac:dyDescent="0.25">
      <c r="A367" s="68"/>
      <c r="B367" s="71"/>
      <c r="C367" s="135" t="s">
        <v>151</v>
      </c>
      <c r="D367" s="143" t="s">
        <v>7</v>
      </c>
      <c r="E367" s="122">
        <v>1</v>
      </c>
      <c r="F367" s="144">
        <v>882</v>
      </c>
      <c r="G367" s="146">
        <f t="shared" si="13"/>
        <v>882</v>
      </c>
    </row>
    <row r="368" spans="1:7" x14ac:dyDescent="0.25">
      <c r="A368" s="68"/>
      <c r="B368" s="71"/>
      <c r="C368" s="135" t="s">
        <v>56</v>
      </c>
      <c r="D368" s="143" t="s">
        <v>7</v>
      </c>
      <c r="E368" s="122">
        <v>5</v>
      </c>
      <c r="F368" s="144">
        <v>14.9</v>
      </c>
      <c r="G368" s="146">
        <f t="shared" si="13"/>
        <v>74.5</v>
      </c>
    </row>
    <row r="369" spans="1:7" x14ac:dyDescent="0.25">
      <c r="A369" s="68"/>
      <c r="B369" s="71"/>
      <c r="C369" s="135" t="s">
        <v>152</v>
      </c>
      <c r="D369" s="143" t="s">
        <v>7</v>
      </c>
      <c r="E369" s="122">
        <v>5</v>
      </c>
      <c r="F369" s="144">
        <v>79</v>
      </c>
      <c r="G369" s="146">
        <f t="shared" si="13"/>
        <v>395</v>
      </c>
    </row>
    <row r="370" spans="1:7" x14ac:dyDescent="0.25">
      <c r="A370" s="68"/>
      <c r="B370" s="71"/>
      <c r="C370" s="135" t="s">
        <v>221</v>
      </c>
      <c r="D370" s="143" t="s">
        <v>7</v>
      </c>
      <c r="E370" s="122">
        <v>52.5</v>
      </c>
      <c r="F370" s="144">
        <v>9.6</v>
      </c>
      <c r="G370" s="146">
        <f t="shared" si="13"/>
        <v>504</v>
      </c>
    </row>
    <row r="371" spans="1:7" x14ac:dyDescent="0.25">
      <c r="A371" s="68"/>
      <c r="B371" s="71"/>
      <c r="C371" s="135" t="s">
        <v>34</v>
      </c>
      <c r="D371" s="143" t="s">
        <v>7</v>
      </c>
      <c r="E371" s="122">
        <v>1</v>
      </c>
      <c r="F371" s="144">
        <v>39.700000000000003</v>
      </c>
      <c r="G371" s="146">
        <f t="shared" si="13"/>
        <v>39.700000000000003</v>
      </c>
    </row>
    <row r="372" spans="1:7" x14ac:dyDescent="0.25">
      <c r="A372" s="68"/>
      <c r="B372" s="71"/>
      <c r="C372" s="135" t="s">
        <v>86</v>
      </c>
      <c r="D372" s="143" t="s">
        <v>7</v>
      </c>
      <c r="E372" s="122">
        <v>3</v>
      </c>
      <c r="F372" s="144">
        <v>12.5</v>
      </c>
      <c r="G372" s="146">
        <f t="shared" si="13"/>
        <v>37.5</v>
      </c>
    </row>
    <row r="373" spans="1:7" x14ac:dyDescent="0.25">
      <c r="A373" s="68"/>
      <c r="B373" s="71"/>
      <c r="C373" s="135" t="s">
        <v>14</v>
      </c>
      <c r="D373" s="143" t="s">
        <v>7</v>
      </c>
      <c r="E373" s="122">
        <v>30</v>
      </c>
      <c r="F373" s="144">
        <v>13.7</v>
      </c>
      <c r="G373" s="146">
        <f t="shared" si="13"/>
        <v>411</v>
      </c>
    </row>
    <row r="374" spans="1:7" x14ac:dyDescent="0.25">
      <c r="A374" s="68"/>
      <c r="B374" s="71"/>
      <c r="C374" s="135" t="s">
        <v>90</v>
      </c>
      <c r="D374" s="143" t="s">
        <v>7</v>
      </c>
      <c r="E374" s="122">
        <v>30</v>
      </c>
      <c r="F374" s="144">
        <v>37.200000000000003</v>
      </c>
      <c r="G374" s="146">
        <f t="shared" si="13"/>
        <v>1116</v>
      </c>
    </row>
    <row r="375" spans="1:7" x14ac:dyDescent="0.25">
      <c r="A375" s="68"/>
      <c r="B375" s="71"/>
      <c r="C375" s="135" t="s">
        <v>153</v>
      </c>
      <c r="D375" s="143" t="s">
        <v>7</v>
      </c>
      <c r="E375" s="122">
        <v>12</v>
      </c>
      <c r="F375" s="144">
        <v>55</v>
      </c>
      <c r="G375" s="146">
        <f t="shared" si="13"/>
        <v>660</v>
      </c>
    </row>
    <row r="376" spans="1:7" x14ac:dyDescent="0.25">
      <c r="A376" s="68"/>
      <c r="B376" s="71"/>
      <c r="C376" s="135" t="s">
        <v>154</v>
      </c>
      <c r="D376" s="143" t="s">
        <v>7</v>
      </c>
      <c r="E376" s="122">
        <v>1</v>
      </c>
      <c r="F376" s="144">
        <v>470</v>
      </c>
      <c r="G376" s="146">
        <f t="shared" si="13"/>
        <v>470</v>
      </c>
    </row>
    <row r="377" spans="1:7" x14ac:dyDescent="0.25">
      <c r="A377" s="68"/>
      <c r="B377" s="71"/>
      <c r="C377" s="135" t="s">
        <v>222</v>
      </c>
      <c r="D377" s="143" t="s">
        <v>7</v>
      </c>
      <c r="E377" s="122">
        <v>12</v>
      </c>
      <c r="F377" s="144">
        <v>96.5</v>
      </c>
      <c r="G377" s="146">
        <f t="shared" si="13"/>
        <v>1158</v>
      </c>
    </row>
    <row r="378" spans="1:7" x14ac:dyDescent="0.25">
      <c r="A378" s="68"/>
      <c r="B378" s="71"/>
      <c r="C378" s="135" t="s">
        <v>204</v>
      </c>
      <c r="D378" s="143" t="s">
        <v>7</v>
      </c>
      <c r="E378" s="122">
        <v>12</v>
      </c>
      <c r="F378" s="144">
        <v>68</v>
      </c>
      <c r="G378" s="146">
        <f t="shared" si="13"/>
        <v>816</v>
      </c>
    </row>
    <row r="379" spans="1:7" x14ac:dyDescent="0.25">
      <c r="A379" s="68"/>
      <c r="B379" s="71"/>
      <c r="C379" s="135" t="s">
        <v>156</v>
      </c>
      <c r="D379" s="143" t="s">
        <v>7</v>
      </c>
      <c r="E379" s="122">
        <v>20</v>
      </c>
      <c r="F379" s="144">
        <v>38.86</v>
      </c>
      <c r="G379" s="146">
        <f t="shared" si="13"/>
        <v>777.2</v>
      </c>
    </row>
    <row r="380" spans="1:7" x14ac:dyDescent="0.25">
      <c r="A380" s="68"/>
      <c r="B380" s="71"/>
      <c r="C380" s="135" t="s">
        <v>157</v>
      </c>
      <c r="D380" s="143" t="s">
        <v>7</v>
      </c>
      <c r="E380" s="122">
        <v>1</v>
      </c>
      <c r="F380" s="144">
        <v>416.94</v>
      </c>
      <c r="G380" s="146">
        <f t="shared" si="13"/>
        <v>416.94</v>
      </c>
    </row>
    <row r="381" spans="1:7" x14ac:dyDescent="0.25">
      <c r="A381" s="68"/>
      <c r="B381" s="71"/>
      <c r="C381" s="135" t="s">
        <v>158</v>
      </c>
      <c r="D381" s="143" t="s">
        <v>7</v>
      </c>
      <c r="E381" s="122">
        <v>3</v>
      </c>
      <c r="F381" s="144">
        <v>302.5</v>
      </c>
      <c r="G381" s="146">
        <f t="shared" si="13"/>
        <v>907.5</v>
      </c>
    </row>
    <row r="382" spans="1:7" x14ac:dyDescent="0.25">
      <c r="A382" s="68"/>
      <c r="B382" s="71"/>
      <c r="C382" s="135" t="s">
        <v>223</v>
      </c>
      <c r="D382" s="143" t="s">
        <v>7</v>
      </c>
      <c r="E382" s="122">
        <v>10</v>
      </c>
      <c r="F382" s="144">
        <v>45.9</v>
      </c>
      <c r="G382" s="146">
        <f t="shared" si="13"/>
        <v>459</v>
      </c>
    </row>
    <row r="383" spans="1:7" x14ac:dyDescent="0.25">
      <c r="A383" s="68"/>
      <c r="B383" s="71"/>
      <c r="C383" s="135" t="s">
        <v>94</v>
      </c>
      <c r="D383" s="143" t="s">
        <v>7</v>
      </c>
      <c r="E383" s="122">
        <v>10</v>
      </c>
      <c r="F383" s="144">
        <v>68</v>
      </c>
      <c r="G383" s="146">
        <f t="shared" si="13"/>
        <v>680</v>
      </c>
    </row>
    <row r="384" spans="1:7" x14ac:dyDescent="0.25">
      <c r="A384" s="68"/>
      <c r="B384" s="71"/>
      <c r="C384" s="135" t="s">
        <v>160</v>
      </c>
      <c r="D384" s="143" t="s">
        <v>7</v>
      </c>
      <c r="E384" s="122">
        <v>5</v>
      </c>
      <c r="F384" s="144">
        <v>150</v>
      </c>
      <c r="G384" s="146">
        <f t="shared" si="13"/>
        <v>750</v>
      </c>
    </row>
    <row r="385" spans="1:7" x14ac:dyDescent="0.25">
      <c r="A385" s="68"/>
      <c r="B385" s="71"/>
      <c r="C385" s="135" t="s">
        <v>109</v>
      </c>
      <c r="D385" s="143" t="s">
        <v>7</v>
      </c>
      <c r="E385" s="122">
        <v>5</v>
      </c>
      <c r="F385" s="144">
        <v>17.649999999999999</v>
      </c>
      <c r="G385" s="146">
        <f t="shared" si="13"/>
        <v>88.25</v>
      </c>
    </row>
    <row r="386" spans="1:7" x14ac:dyDescent="0.25">
      <c r="A386" s="68"/>
      <c r="B386" s="71"/>
      <c r="C386" s="135" t="s">
        <v>143</v>
      </c>
      <c r="D386" s="143" t="s">
        <v>7</v>
      </c>
      <c r="E386" s="122">
        <v>1</v>
      </c>
      <c r="F386" s="144">
        <v>5046.66</v>
      </c>
      <c r="G386" s="146">
        <f t="shared" si="13"/>
        <v>5046.66</v>
      </c>
    </row>
    <row r="387" spans="1:7" x14ac:dyDescent="0.25">
      <c r="A387" s="68"/>
      <c r="B387" s="71"/>
      <c r="C387" s="135" t="s">
        <v>181</v>
      </c>
      <c r="D387" s="143" t="s">
        <v>7</v>
      </c>
      <c r="E387" s="122">
        <v>4</v>
      </c>
      <c r="F387" s="144">
        <v>682.4</v>
      </c>
      <c r="G387" s="146">
        <f t="shared" si="13"/>
        <v>2729.6</v>
      </c>
    </row>
    <row r="388" spans="1:7" x14ac:dyDescent="0.25">
      <c r="A388" s="68"/>
      <c r="B388" s="71"/>
      <c r="C388" s="135" t="s">
        <v>165</v>
      </c>
      <c r="D388" s="143" t="s">
        <v>7</v>
      </c>
      <c r="E388" s="122">
        <v>1</v>
      </c>
      <c r="F388" s="144">
        <v>1974.78</v>
      </c>
      <c r="G388" s="146">
        <f t="shared" ref="G388:G389" si="14">E388*F388</f>
        <v>1974.78</v>
      </c>
    </row>
    <row r="389" spans="1:7" x14ac:dyDescent="0.25">
      <c r="A389" s="68"/>
      <c r="B389" s="71"/>
      <c r="C389" s="135" t="s">
        <v>85</v>
      </c>
      <c r="D389" s="143" t="s">
        <v>7</v>
      </c>
      <c r="E389" s="122">
        <v>30</v>
      </c>
      <c r="F389" s="144">
        <v>1073</v>
      </c>
      <c r="G389" s="146">
        <f t="shared" si="14"/>
        <v>32190</v>
      </c>
    </row>
    <row r="390" spans="1:7" x14ac:dyDescent="0.25">
      <c r="A390" s="69"/>
      <c r="B390" s="72"/>
      <c r="C390" s="135" t="s">
        <v>285</v>
      </c>
      <c r="D390" s="143" t="s">
        <v>76</v>
      </c>
      <c r="E390" s="122">
        <v>60</v>
      </c>
      <c r="F390" s="144">
        <v>53.332999999999998</v>
      </c>
      <c r="G390" s="146">
        <v>3200</v>
      </c>
    </row>
    <row r="391" spans="1:7" x14ac:dyDescent="0.25">
      <c r="A391" s="123"/>
      <c r="B391" s="123"/>
      <c r="C391" s="136" t="s">
        <v>9</v>
      </c>
      <c r="D391" s="123"/>
      <c r="E391" s="124"/>
      <c r="F391" s="145"/>
      <c r="G391" s="145">
        <f>SUM(G357:G390)</f>
        <v>68841.63</v>
      </c>
    </row>
    <row r="392" spans="1:7" ht="26.25" hidden="1" x14ac:dyDescent="0.25">
      <c r="A392" s="125">
        <v>17</v>
      </c>
      <c r="B392" s="66" t="s">
        <v>295</v>
      </c>
      <c r="C392" s="135" t="s">
        <v>143</v>
      </c>
      <c r="D392" s="143" t="s">
        <v>7</v>
      </c>
      <c r="E392" s="122"/>
      <c r="F392" s="144">
        <v>5046.66</v>
      </c>
      <c r="G392" s="144">
        <f>E392*F392</f>
        <v>0</v>
      </c>
    </row>
    <row r="393" spans="1:7" hidden="1" x14ac:dyDescent="0.25">
      <c r="A393" s="123"/>
      <c r="B393" s="123"/>
      <c r="C393" s="136" t="s">
        <v>9</v>
      </c>
      <c r="D393" s="123"/>
      <c r="E393" s="124"/>
      <c r="F393" s="145"/>
      <c r="G393" s="145">
        <f>SUM(G392)</f>
        <v>0</v>
      </c>
    </row>
    <row r="394" spans="1:7" x14ac:dyDescent="0.25">
      <c r="A394" s="127" t="s">
        <v>272</v>
      </c>
      <c r="B394" s="128"/>
      <c r="C394" s="140"/>
      <c r="D394" s="130"/>
      <c r="E394" s="129"/>
      <c r="F394" s="149"/>
      <c r="G394" s="149">
        <f>G393+G391+G356+G354+G352+G319+G317+G312+G307+G273+G228+G216+G189+G187+G185+G183+G146+G83+G81+G79+G73+G37+G35</f>
        <v>1351345.0299999998</v>
      </c>
    </row>
  </sheetData>
  <mergeCells count="28">
    <mergeCell ref="A1:G1"/>
    <mergeCell ref="A394:B394"/>
    <mergeCell ref="A3:A34"/>
    <mergeCell ref="B3:B34"/>
    <mergeCell ref="A38:A72"/>
    <mergeCell ref="B38:B72"/>
    <mergeCell ref="A74:A78"/>
    <mergeCell ref="B74:B78"/>
    <mergeCell ref="A84:A145"/>
    <mergeCell ref="B84:B145"/>
    <mergeCell ref="A147:A182"/>
    <mergeCell ref="B147:B182"/>
    <mergeCell ref="A190:A215"/>
    <mergeCell ref="B190:B215"/>
    <mergeCell ref="A217:A227"/>
    <mergeCell ref="B217:B227"/>
    <mergeCell ref="A229:A272"/>
    <mergeCell ref="B229:B272"/>
    <mergeCell ref="A274:A306"/>
    <mergeCell ref="B274:B306"/>
    <mergeCell ref="A357:A390"/>
    <mergeCell ref="B357:B390"/>
    <mergeCell ref="A308:A311"/>
    <mergeCell ref="B308:B311"/>
    <mergeCell ref="A313:A316"/>
    <mergeCell ref="B313:B316"/>
    <mergeCell ref="A320:A351"/>
    <mergeCell ref="B320:B351"/>
  </mergeCells>
  <pageMargins left="0.70866141732283472" right="0.16" top="0.96" bottom="0.2" header="0.31496062992125984" footer="0.31496062992125984"/>
  <pageSetup paperSize="9" scale="80" orientation="landscape" verticalDpi="0" r:id="rId1"/>
  <rowBreaks count="4" manualBreakCount="4">
    <brk id="35" max="9" man="1"/>
    <brk id="73" max="16383" man="1"/>
    <brk id="146" max="16383" man="1"/>
    <brk id="21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6"/>
  <sheetViews>
    <sheetView view="pageBreakPreview" zoomScaleSheetLayoutView="100" workbookViewId="0">
      <selection activeCell="B2" sqref="B2"/>
    </sheetView>
  </sheetViews>
  <sheetFormatPr defaultRowHeight="15" x14ac:dyDescent="0.25"/>
  <cols>
    <col min="1" max="1" width="3.85546875" style="36" customWidth="1"/>
    <col min="2" max="2" width="29.42578125" style="36" customWidth="1"/>
    <col min="3" max="3" width="34.85546875" style="170" customWidth="1"/>
    <col min="4" max="4" width="11.85546875" style="36" customWidth="1"/>
    <col min="5" max="5" width="9.140625" style="52" customWidth="1"/>
    <col min="6" max="6" width="14.7109375" style="39" customWidth="1"/>
    <col min="7" max="7" width="13.85546875" style="39" customWidth="1"/>
    <col min="8" max="16384" width="9.140625" style="36"/>
  </cols>
  <sheetData>
    <row r="1" spans="1:7" ht="18.75" x14ac:dyDescent="0.25">
      <c r="A1" s="86" t="s">
        <v>296</v>
      </c>
      <c r="B1" s="86"/>
      <c r="C1" s="86"/>
      <c r="D1" s="86"/>
      <c r="E1" s="86"/>
      <c r="F1" s="86"/>
      <c r="G1" s="86"/>
    </row>
    <row r="2" spans="1:7" ht="47.25" x14ac:dyDescent="0.25">
      <c r="A2" s="22" t="s">
        <v>0</v>
      </c>
      <c r="B2" s="23" t="s">
        <v>1</v>
      </c>
      <c r="C2" s="166" t="s">
        <v>2</v>
      </c>
      <c r="D2" s="23" t="s">
        <v>3</v>
      </c>
      <c r="E2" s="24" t="s">
        <v>4</v>
      </c>
      <c r="F2" s="25" t="s">
        <v>5</v>
      </c>
      <c r="G2" s="25" t="s">
        <v>6</v>
      </c>
    </row>
    <row r="3" spans="1:7" x14ac:dyDescent="0.25">
      <c r="A3" s="82">
        <v>1</v>
      </c>
      <c r="B3" s="88" t="s">
        <v>55</v>
      </c>
      <c r="C3" s="112" t="s">
        <v>298</v>
      </c>
      <c r="D3" s="26" t="s">
        <v>7</v>
      </c>
      <c r="E3" s="34">
        <v>102</v>
      </c>
      <c r="F3" s="35">
        <v>16</v>
      </c>
      <c r="G3" s="35">
        <f>E3*F3</f>
        <v>1632</v>
      </c>
    </row>
    <row r="4" spans="1:7" x14ac:dyDescent="0.25">
      <c r="A4" s="87"/>
      <c r="B4" s="89"/>
      <c r="C4" s="112" t="s">
        <v>58</v>
      </c>
      <c r="D4" s="26" t="s">
        <v>19</v>
      </c>
      <c r="E4" s="34">
        <v>5</v>
      </c>
      <c r="F4" s="35">
        <v>33.5</v>
      </c>
      <c r="G4" s="35">
        <f t="shared" ref="G4:G40" si="0">E4*F4</f>
        <v>167.5</v>
      </c>
    </row>
    <row r="5" spans="1:7" x14ac:dyDescent="0.25">
      <c r="A5" s="87"/>
      <c r="B5" s="89"/>
      <c r="C5" s="112" t="s">
        <v>299</v>
      </c>
      <c r="D5" s="26" t="s">
        <v>7</v>
      </c>
      <c r="E5" s="34">
        <v>13</v>
      </c>
      <c r="F5" s="35">
        <v>19.45</v>
      </c>
      <c r="G5" s="35">
        <f t="shared" si="0"/>
        <v>252.85</v>
      </c>
    </row>
    <row r="6" spans="1:7" x14ac:dyDescent="0.25">
      <c r="A6" s="87"/>
      <c r="B6" s="89"/>
      <c r="C6" s="112" t="s">
        <v>300</v>
      </c>
      <c r="D6" s="26" t="s">
        <v>7</v>
      </c>
      <c r="E6" s="34">
        <v>5</v>
      </c>
      <c r="F6" s="35">
        <v>26.5</v>
      </c>
      <c r="G6" s="35">
        <f t="shared" si="0"/>
        <v>132.5</v>
      </c>
    </row>
    <row r="7" spans="1:7" x14ac:dyDescent="0.25">
      <c r="A7" s="87"/>
      <c r="B7" s="89"/>
      <c r="C7" s="112" t="s">
        <v>51</v>
      </c>
      <c r="D7" s="26" t="s">
        <v>7</v>
      </c>
      <c r="E7" s="34">
        <f>55+50+6+1</f>
        <v>112</v>
      </c>
      <c r="F7" s="35"/>
      <c r="G7" s="35">
        <f>5170+6900+1470+312</f>
        <v>13852</v>
      </c>
    </row>
    <row r="8" spans="1:7" x14ac:dyDescent="0.25">
      <c r="A8" s="87"/>
      <c r="B8" s="89"/>
      <c r="C8" s="112" t="s">
        <v>57</v>
      </c>
      <c r="D8" s="26" t="s">
        <v>7</v>
      </c>
      <c r="E8" s="34">
        <f>6+2+10</f>
        <v>18</v>
      </c>
      <c r="F8" s="35"/>
      <c r="G8" s="35">
        <f>336+102+450</f>
        <v>888</v>
      </c>
    </row>
    <row r="9" spans="1:7" x14ac:dyDescent="0.25">
      <c r="A9" s="87"/>
      <c r="B9" s="89"/>
      <c r="C9" s="112" t="s">
        <v>203</v>
      </c>
      <c r="D9" s="26" t="s">
        <v>7</v>
      </c>
      <c r="E9" s="34">
        <v>100</v>
      </c>
      <c r="F9" s="35">
        <v>1.5</v>
      </c>
      <c r="G9" s="35">
        <f t="shared" si="0"/>
        <v>150</v>
      </c>
    </row>
    <row r="10" spans="1:7" x14ac:dyDescent="0.25">
      <c r="A10" s="87"/>
      <c r="B10" s="89"/>
      <c r="C10" s="112" t="s">
        <v>301</v>
      </c>
      <c r="D10" s="26" t="s">
        <v>7</v>
      </c>
      <c r="E10" s="34">
        <f>4+3+20+6</f>
        <v>33</v>
      </c>
      <c r="F10" s="35"/>
      <c r="G10" s="35">
        <f>276+243+288+336</f>
        <v>1143</v>
      </c>
    </row>
    <row r="11" spans="1:7" x14ac:dyDescent="0.25">
      <c r="A11" s="87"/>
      <c r="B11" s="89"/>
      <c r="C11" s="112" t="s">
        <v>302</v>
      </c>
      <c r="D11" s="26" t="s">
        <v>7</v>
      </c>
      <c r="E11" s="34">
        <v>5</v>
      </c>
      <c r="F11" s="35">
        <v>71.099999999999994</v>
      </c>
      <c r="G11" s="35">
        <f t="shared" si="0"/>
        <v>355.5</v>
      </c>
    </row>
    <row r="12" spans="1:7" x14ac:dyDescent="0.25">
      <c r="A12" s="87"/>
      <c r="B12" s="89"/>
      <c r="C12" s="112" t="s">
        <v>303</v>
      </c>
      <c r="D12" s="26" t="s">
        <v>7</v>
      </c>
      <c r="E12" s="34">
        <v>4</v>
      </c>
      <c r="F12" s="35">
        <v>16</v>
      </c>
      <c r="G12" s="35">
        <f t="shared" si="0"/>
        <v>64</v>
      </c>
    </row>
    <row r="13" spans="1:7" x14ac:dyDescent="0.25">
      <c r="A13" s="87"/>
      <c r="B13" s="89"/>
      <c r="C13" s="112" t="s">
        <v>304</v>
      </c>
      <c r="D13" s="26" t="s">
        <v>7</v>
      </c>
      <c r="E13" s="34">
        <v>20</v>
      </c>
      <c r="F13" s="35">
        <v>25</v>
      </c>
      <c r="G13" s="35">
        <f t="shared" si="0"/>
        <v>500</v>
      </c>
    </row>
    <row r="14" spans="1:7" x14ac:dyDescent="0.25">
      <c r="A14" s="87"/>
      <c r="B14" s="89"/>
      <c r="C14" s="112" t="s">
        <v>34</v>
      </c>
      <c r="D14" s="26" t="s">
        <v>7</v>
      </c>
      <c r="E14" s="34">
        <f>20+5</f>
        <v>25</v>
      </c>
      <c r="F14" s="35"/>
      <c r="G14" s="35">
        <f>500+75</f>
        <v>575</v>
      </c>
    </row>
    <row r="15" spans="1:7" x14ac:dyDescent="0.25">
      <c r="A15" s="87"/>
      <c r="B15" s="89"/>
      <c r="C15" s="112" t="s">
        <v>305</v>
      </c>
      <c r="D15" s="26" t="s">
        <v>7</v>
      </c>
      <c r="E15" s="34">
        <v>10</v>
      </c>
      <c r="F15" s="35">
        <v>100</v>
      </c>
      <c r="G15" s="35">
        <f t="shared" si="0"/>
        <v>1000</v>
      </c>
    </row>
    <row r="16" spans="1:7" x14ac:dyDescent="0.25">
      <c r="A16" s="87"/>
      <c r="B16" s="89"/>
      <c r="C16" s="112" t="s">
        <v>12</v>
      </c>
      <c r="D16" s="26" t="s">
        <v>7</v>
      </c>
      <c r="E16" s="34">
        <v>1</v>
      </c>
      <c r="F16" s="35">
        <v>24</v>
      </c>
      <c r="G16" s="35">
        <f t="shared" si="0"/>
        <v>24</v>
      </c>
    </row>
    <row r="17" spans="1:7" x14ac:dyDescent="0.25">
      <c r="A17" s="87"/>
      <c r="B17" s="89"/>
      <c r="C17" s="112" t="s">
        <v>52</v>
      </c>
      <c r="D17" s="26" t="s">
        <v>7</v>
      </c>
      <c r="E17" s="34">
        <v>19</v>
      </c>
      <c r="F17" s="35">
        <v>41</v>
      </c>
      <c r="G17" s="35">
        <f t="shared" si="0"/>
        <v>779</v>
      </c>
    </row>
    <row r="18" spans="1:7" x14ac:dyDescent="0.25">
      <c r="A18" s="87"/>
      <c r="B18" s="89"/>
      <c r="C18" s="112" t="s">
        <v>11</v>
      </c>
      <c r="D18" s="26" t="s">
        <v>7</v>
      </c>
      <c r="E18" s="34">
        <v>2</v>
      </c>
      <c r="F18" s="35">
        <v>74</v>
      </c>
      <c r="G18" s="35">
        <f t="shared" si="0"/>
        <v>148</v>
      </c>
    </row>
    <row r="19" spans="1:7" x14ac:dyDescent="0.25">
      <c r="A19" s="87"/>
      <c r="B19" s="89"/>
      <c r="C19" s="112" t="s">
        <v>306</v>
      </c>
      <c r="D19" s="26" t="s">
        <v>7</v>
      </c>
      <c r="E19" s="34">
        <v>20</v>
      </c>
      <c r="F19" s="35">
        <v>16</v>
      </c>
      <c r="G19" s="35">
        <f t="shared" si="0"/>
        <v>320</v>
      </c>
    </row>
    <row r="20" spans="1:7" x14ac:dyDescent="0.25">
      <c r="A20" s="87"/>
      <c r="B20" s="89"/>
      <c r="C20" s="112" t="s">
        <v>307</v>
      </c>
      <c r="D20" s="26" t="s">
        <v>7</v>
      </c>
      <c r="E20" s="34">
        <v>30</v>
      </c>
      <c r="F20" s="35">
        <v>8</v>
      </c>
      <c r="G20" s="35">
        <f t="shared" si="0"/>
        <v>240</v>
      </c>
    </row>
    <row r="21" spans="1:7" x14ac:dyDescent="0.25">
      <c r="A21" s="87"/>
      <c r="B21" s="89"/>
      <c r="C21" s="112" t="s">
        <v>308</v>
      </c>
      <c r="D21" s="26" t="s">
        <v>7</v>
      </c>
      <c r="E21" s="34">
        <v>15</v>
      </c>
      <c r="F21" s="35">
        <v>18.2</v>
      </c>
      <c r="G21" s="35">
        <f t="shared" si="0"/>
        <v>273</v>
      </c>
    </row>
    <row r="22" spans="1:7" x14ac:dyDescent="0.25">
      <c r="A22" s="87"/>
      <c r="B22" s="89"/>
      <c r="C22" s="112" t="s">
        <v>94</v>
      </c>
      <c r="D22" s="26" t="s">
        <v>7</v>
      </c>
      <c r="E22" s="158">
        <v>12</v>
      </c>
      <c r="F22" s="161">
        <v>61</v>
      </c>
      <c r="G22" s="161">
        <f t="shared" si="0"/>
        <v>732</v>
      </c>
    </row>
    <row r="23" spans="1:7" x14ac:dyDescent="0.25">
      <c r="A23" s="87"/>
      <c r="B23" s="89"/>
      <c r="C23" s="112" t="s">
        <v>121</v>
      </c>
      <c r="D23" s="26" t="s">
        <v>7</v>
      </c>
      <c r="E23" s="158">
        <v>100</v>
      </c>
      <c r="F23" s="161">
        <v>1.2</v>
      </c>
      <c r="G23" s="161">
        <f t="shared" si="0"/>
        <v>120</v>
      </c>
    </row>
    <row r="24" spans="1:7" x14ac:dyDescent="0.25">
      <c r="A24" s="87"/>
      <c r="B24" s="89"/>
      <c r="C24" s="112" t="s">
        <v>309</v>
      </c>
      <c r="D24" s="26" t="s">
        <v>7</v>
      </c>
      <c r="E24" s="158">
        <v>1</v>
      </c>
      <c r="F24" s="161">
        <v>29763.56</v>
      </c>
      <c r="G24" s="161">
        <f t="shared" si="0"/>
        <v>29763.56</v>
      </c>
    </row>
    <row r="25" spans="1:7" x14ac:dyDescent="0.25">
      <c r="A25" s="87"/>
      <c r="B25" s="89"/>
      <c r="C25" s="112" t="s">
        <v>310</v>
      </c>
      <c r="D25" s="26" t="s">
        <v>7</v>
      </c>
      <c r="E25" s="158">
        <v>4</v>
      </c>
      <c r="F25" s="161">
        <v>1030</v>
      </c>
      <c r="G25" s="161">
        <f t="shared" si="0"/>
        <v>4120</v>
      </c>
    </row>
    <row r="26" spans="1:7" x14ac:dyDescent="0.25">
      <c r="A26" s="87"/>
      <c r="B26" s="89"/>
      <c r="C26" s="112" t="s">
        <v>311</v>
      </c>
      <c r="D26" s="26" t="s">
        <v>7</v>
      </c>
      <c r="E26" s="158">
        <v>2</v>
      </c>
      <c r="F26" s="161">
        <v>1443.88</v>
      </c>
      <c r="G26" s="161">
        <f t="shared" si="0"/>
        <v>2887.76</v>
      </c>
    </row>
    <row r="27" spans="1:7" x14ac:dyDescent="0.25">
      <c r="A27" s="87"/>
      <c r="B27" s="89"/>
      <c r="C27" s="112" t="s">
        <v>312</v>
      </c>
      <c r="D27" s="26" t="s">
        <v>7</v>
      </c>
      <c r="E27" s="158">
        <v>3</v>
      </c>
      <c r="F27" s="161">
        <v>82.74</v>
      </c>
      <c r="G27" s="161">
        <f t="shared" si="0"/>
        <v>248.21999999999997</v>
      </c>
    </row>
    <row r="28" spans="1:7" x14ac:dyDescent="0.25">
      <c r="A28" s="87"/>
      <c r="B28" s="89"/>
      <c r="C28" s="112" t="s">
        <v>11</v>
      </c>
      <c r="D28" s="26" t="s">
        <v>7</v>
      </c>
      <c r="E28" s="158">
        <v>20</v>
      </c>
      <c r="F28" s="161">
        <v>122.22</v>
      </c>
      <c r="G28" s="161">
        <f t="shared" si="0"/>
        <v>2444.4</v>
      </c>
    </row>
    <row r="29" spans="1:7" x14ac:dyDescent="0.25">
      <c r="A29" s="87"/>
      <c r="B29" s="89"/>
      <c r="C29" s="112" t="s">
        <v>313</v>
      </c>
      <c r="D29" s="26" t="s">
        <v>15</v>
      </c>
      <c r="E29" s="158">
        <v>30</v>
      </c>
      <c r="F29" s="161">
        <v>25.08</v>
      </c>
      <c r="G29" s="161">
        <f t="shared" si="0"/>
        <v>752.4</v>
      </c>
    </row>
    <row r="30" spans="1:7" x14ac:dyDescent="0.25">
      <c r="A30" s="87"/>
      <c r="B30" s="89"/>
      <c r="C30" s="112" t="s">
        <v>314</v>
      </c>
      <c r="D30" s="26" t="s">
        <v>7</v>
      </c>
      <c r="E30" s="158">
        <v>10</v>
      </c>
      <c r="F30" s="161">
        <v>392.94</v>
      </c>
      <c r="G30" s="161">
        <f t="shared" si="0"/>
        <v>3929.4</v>
      </c>
    </row>
    <row r="31" spans="1:7" x14ac:dyDescent="0.25">
      <c r="A31" s="87"/>
      <c r="B31" s="89"/>
      <c r="C31" s="112" t="s">
        <v>315</v>
      </c>
      <c r="D31" s="26" t="s">
        <v>7</v>
      </c>
      <c r="E31" s="158">
        <v>2</v>
      </c>
      <c r="F31" s="161">
        <v>1850</v>
      </c>
      <c r="G31" s="161">
        <f t="shared" si="0"/>
        <v>3700</v>
      </c>
    </row>
    <row r="32" spans="1:7" x14ac:dyDescent="0.25">
      <c r="A32" s="87"/>
      <c r="B32" s="89"/>
      <c r="C32" s="112" t="s">
        <v>47</v>
      </c>
      <c r="D32" s="26" t="s">
        <v>7</v>
      </c>
      <c r="E32" s="158">
        <v>1</v>
      </c>
      <c r="F32" s="161">
        <v>2499.21</v>
      </c>
      <c r="G32" s="161">
        <f t="shared" si="0"/>
        <v>2499.21</v>
      </c>
    </row>
    <row r="33" spans="1:7" x14ac:dyDescent="0.25">
      <c r="A33" s="87"/>
      <c r="B33" s="89"/>
      <c r="C33" s="112" t="s">
        <v>316</v>
      </c>
      <c r="D33" s="26" t="s">
        <v>7</v>
      </c>
      <c r="E33" s="158">
        <v>3</v>
      </c>
      <c r="F33" s="161">
        <v>2860</v>
      </c>
      <c r="G33" s="161">
        <f t="shared" si="0"/>
        <v>8580</v>
      </c>
    </row>
    <row r="34" spans="1:7" x14ac:dyDescent="0.25">
      <c r="A34" s="87"/>
      <c r="B34" s="89"/>
      <c r="C34" s="112" t="s">
        <v>317</v>
      </c>
      <c r="D34" s="26" t="s">
        <v>7</v>
      </c>
      <c r="E34" s="158">
        <v>1</v>
      </c>
      <c r="F34" s="161">
        <v>348.35</v>
      </c>
      <c r="G34" s="161">
        <f t="shared" si="0"/>
        <v>348.35</v>
      </c>
    </row>
    <row r="35" spans="1:7" x14ac:dyDescent="0.25">
      <c r="A35" s="87"/>
      <c r="B35" s="89"/>
      <c r="C35" s="112" t="s">
        <v>75</v>
      </c>
      <c r="D35" s="26" t="s">
        <v>7</v>
      </c>
      <c r="E35" s="34">
        <v>2</v>
      </c>
      <c r="F35" s="35">
        <v>1083.3499999999999</v>
      </c>
      <c r="G35" s="35">
        <f t="shared" si="0"/>
        <v>2166.6999999999998</v>
      </c>
    </row>
    <row r="36" spans="1:7" x14ac:dyDescent="0.25">
      <c r="A36" s="87"/>
      <c r="B36" s="89"/>
      <c r="C36" s="112" t="s">
        <v>114</v>
      </c>
      <c r="D36" s="26" t="s">
        <v>7</v>
      </c>
      <c r="E36" s="34">
        <v>2</v>
      </c>
      <c r="F36" s="35">
        <v>333.35</v>
      </c>
      <c r="G36" s="35">
        <f t="shared" si="0"/>
        <v>666.7</v>
      </c>
    </row>
    <row r="37" spans="1:7" x14ac:dyDescent="0.25">
      <c r="A37" s="87"/>
      <c r="B37" s="89"/>
      <c r="C37" s="112" t="s">
        <v>48</v>
      </c>
      <c r="D37" s="26" t="s">
        <v>7</v>
      </c>
      <c r="E37" s="34">
        <v>2</v>
      </c>
      <c r="F37" s="35">
        <v>1221.6500000000001</v>
      </c>
      <c r="G37" s="35">
        <f t="shared" si="0"/>
        <v>2443.3000000000002</v>
      </c>
    </row>
    <row r="38" spans="1:7" x14ac:dyDescent="0.25">
      <c r="A38" s="87"/>
      <c r="B38" s="89"/>
      <c r="C38" s="112" t="s">
        <v>150</v>
      </c>
      <c r="D38" s="26" t="s">
        <v>7</v>
      </c>
      <c r="E38" s="34">
        <v>5</v>
      </c>
      <c r="F38" s="35">
        <v>123</v>
      </c>
      <c r="G38" s="35">
        <f t="shared" si="0"/>
        <v>615</v>
      </c>
    </row>
    <row r="39" spans="1:7" x14ac:dyDescent="0.25">
      <c r="A39" s="87"/>
      <c r="B39" s="89"/>
      <c r="C39" s="112" t="s">
        <v>170</v>
      </c>
      <c r="D39" s="26" t="s">
        <v>7</v>
      </c>
      <c r="E39" s="34">
        <v>5</v>
      </c>
      <c r="F39" s="35">
        <v>420</v>
      </c>
      <c r="G39" s="35">
        <f t="shared" si="0"/>
        <v>2100</v>
      </c>
    </row>
    <row r="40" spans="1:7" x14ac:dyDescent="0.25">
      <c r="A40" s="87"/>
      <c r="B40" s="89"/>
      <c r="C40" s="112" t="s">
        <v>17</v>
      </c>
      <c r="D40" s="26" t="s">
        <v>7</v>
      </c>
      <c r="E40" s="34">
        <v>5</v>
      </c>
      <c r="F40" s="35">
        <v>195</v>
      </c>
      <c r="G40" s="35">
        <f t="shared" si="0"/>
        <v>975</v>
      </c>
    </row>
    <row r="41" spans="1:7" x14ac:dyDescent="0.25">
      <c r="A41" s="87"/>
      <c r="B41" s="89"/>
      <c r="C41" s="112" t="s">
        <v>318</v>
      </c>
      <c r="D41" s="26" t="s">
        <v>7</v>
      </c>
      <c r="E41" s="34">
        <v>28</v>
      </c>
      <c r="F41" s="35">
        <v>37.5</v>
      </c>
      <c r="G41" s="35">
        <v>1050</v>
      </c>
    </row>
    <row r="42" spans="1:7" x14ac:dyDescent="0.25">
      <c r="A42" s="83"/>
      <c r="B42" s="90"/>
      <c r="C42" s="112" t="s">
        <v>319</v>
      </c>
      <c r="D42" s="26" t="s">
        <v>7</v>
      </c>
      <c r="E42" s="34">
        <v>8</v>
      </c>
      <c r="F42" s="35">
        <v>75</v>
      </c>
      <c r="G42" s="35">
        <v>600</v>
      </c>
    </row>
    <row r="43" spans="1:7" ht="25.5" x14ac:dyDescent="0.25">
      <c r="A43" s="40"/>
      <c r="B43" s="98"/>
      <c r="C43" s="107" t="s">
        <v>9</v>
      </c>
      <c r="D43" s="40"/>
      <c r="E43" s="41"/>
      <c r="F43" s="42"/>
      <c r="G43" s="42">
        <f>SUM(G3:G42)</f>
        <v>93238.35000000002</v>
      </c>
    </row>
    <row r="44" spans="1:7" ht="25.5" hidden="1" x14ac:dyDescent="0.25">
      <c r="A44" s="43"/>
      <c r="B44" s="91" t="s">
        <v>64</v>
      </c>
      <c r="C44" s="112"/>
      <c r="D44" s="26" t="s">
        <v>7</v>
      </c>
      <c r="E44" s="34"/>
      <c r="F44" s="35"/>
      <c r="G44" s="35">
        <f>E44*F44</f>
        <v>0</v>
      </c>
    </row>
    <row r="45" spans="1:7" ht="25.5" hidden="1" x14ac:dyDescent="0.25">
      <c r="A45" s="40"/>
      <c r="B45" s="98"/>
      <c r="C45" s="107" t="s">
        <v>9</v>
      </c>
      <c r="D45" s="40"/>
      <c r="E45" s="41"/>
      <c r="F45" s="42"/>
      <c r="G45" s="42">
        <f>SUM(G44)</f>
        <v>0</v>
      </c>
    </row>
    <row r="46" spans="1:7" x14ac:dyDescent="0.25">
      <c r="A46" s="82">
        <v>2</v>
      </c>
      <c r="B46" s="88" t="s">
        <v>22</v>
      </c>
      <c r="C46" s="112" t="s">
        <v>58</v>
      </c>
      <c r="D46" s="26" t="s">
        <v>19</v>
      </c>
      <c r="E46" s="34">
        <v>4</v>
      </c>
      <c r="F46" s="35">
        <v>39</v>
      </c>
      <c r="G46" s="35">
        <f>E46*F46</f>
        <v>156</v>
      </c>
    </row>
    <row r="47" spans="1:7" x14ac:dyDescent="0.25">
      <c r="A47" s="87"/>
      <c r="B47" s="89"/>
      <c r="C47" s="112" t="s">
        <v>320</v>
      </c>
      <c r="D47" s="26" t="s">
        <v>7</v>
      </c>
      <c r="E47" s="34">
        <v>102</v>
      </c>
      <c r="F47" s="35">
        <v>10.97</v>
      </c>
      <c r="G47" s="35">
        <f t="shared" ref="G47:G54" si="1">E47*F47</f>
        <v>1118.94</v>
      </c>
    </row>
    <row r="48" spans="1:7" x14ac:dyDescent="0.25">
      <c r="A48" s="87"/>
      <c r="B48" s="89"/>
      <c r="C48" s="112" t="s">
        <v>283</v>
      </c>
      <c r="D48" s="26" t="s">
        <v>7</v>
      </c>
      <c r="E48" s="34">
        <v>6</v>
      </c>
      <c r="F48" s="35">
        <v>28</v>
      </c>
      <c r="G48" s="35">
        <f t="shared" si="1"/>
        <v>168</v>
      </c>
    </row>
    <row r="49" spans="1:7" x14ac:dyDescent="0.25">
      <c r="A49" s="87"/>
      <c r="B49" s="89"/>
      <c r="C49" s="111" t="s">
        <v>114</v>
      </c>
      <c r="D49" s="43" t="s">
        <v>7</v>
      </c>
      <c r="E49" s="37">
        <v>3</v>
      </c>
      <c r="F49" s="38">
        <v>140</v>
      </c>
      <c r="G49" s="38">
        <f t="shared" si="1"/>
        <v>420</v>
      </c>
    </row>
    <row r="50" spans="1:7" x14ac:dyDescent="0.25">
      <c r="A50" s="87"/>
      <c r="B50" s="89"/>
      <c r="C50" s="112" t="s">
        <v>94</v>
      </c>
      <c r="D50" s="26" t="s">
        <v>13</v>
      </c>
      <c r="E50" s="34">
        <v>6</v>
      </c>
      <c r="F50" s="35">
        <v>44.4</v>
      </c>
      <c r="G50" s="35">
        <f t="shared" si="1"/>
        <v>266.39999999999998</v>
      </c>
    </row>
    <row r="51" spans="1:7" x14ac:dyDescent="0.25">
      <c r="A51" s="87"/>
      <c r="B51" s="89"/>
      <c r="C51" s="112" t="s">
        <v>321</v>
      </c>
      <c r="D51" s="26" t="s">
        <v>7</v>
      </c>
      <c r="E51" s="34">
        <v>5</v>
      </c>
      <c r="F51" s="35">
        <v>124</v>
      </c>
      <c r="G51" s="35">
        <f t="shared" si="1"/>
        <v>620</v>
      </c>
    </row>
    <row r="52" spans="1:7" x14ac:dyDescent="0.25">
      <c r="A52" s="87"/>
      <c r="B52" s="89"/>
      <c r="C52" s="112" t="s">
        <v>57</v>
      </c>
      <c r="D52" s="26" t="s">
        <v>7</v>
      </c>
      <c r="E52" s="34">
        <f>6+2</f>
        <v>8</v>
      </c>
      <c r="F52" s="35"/>
      <c r="G52" s="35">
        <f>336+150</f>
        <v>486</v>
      </c>
    </row>
    <row r="53" spans="1:7" x14ac:dyDescent="0.25">
      <c r="A53" s="87"/>
      <c r="B53" s="89"/>
      <c r="C53" s="112" t="s">
        <v>121</v>
      </c>
      <c r="D53" s="26" t="s">
        <v>7</v>
      </c>
      <c r="E53" s="34">
        <v>100</v>
      </c>
      <c r="F53" s="35">
        <v>0.5</v>
      </c>
      <c r="G53" s="35">
        <f t="shared" si="1"/>
        <v>50</v>
      </c>
    </row>
    <row r="54" spans="1:7" x14ac:dyDescent="0.25">
      <c r="A54" s="87"/>
      <c r="B54" s="89"/>
      <c r="C54" s="112" t="s">
        <v>203</v>
      </c>
      <c r="D54" s="26" t="s">
        <v>7</v>
      </c>
      <c r="E54" s="34">
        <v>100</v>
      </c>
      <c r="F54" s="35">
        <v>1.55</v>
      </c>
      <c r="G54" s="35">
        <f t="shared" si="1"/>
        <v>155</v>
      </c>
    </row>
    <row r="55" spans="1:7" x14ac:dyDescent="0.25">
      <c r="A55" s="83"/>
      <c r="B55" s="90"/>
      <c r="C55" s="112" t="s">
        <v>301</v>
      </c>
      <c r="D55" s="26" t="s">
        <v>7</v>
      </c>
      <c r="E55" s="34">
        <f>4+3</f>
        <v>7</v>
      </c>
      <c r="F55" s="35"/>
      <c r="G55" s="35">
        <f>573.48+389.7</f>
        <v>963.18000000000006</v>
      </c>
    </row>
    <row r="56" spans="1:7" ht="25.5" x14ac:dyDescent="0.25">
      <c r="A56" s="40"/>
      <c r="B56" s="98"/>
      <c r="C56" s="107" t="s">
        <v>9</v>
      </c>
      <c r="D56" s="40"/>
      <c r="E56" s="41"/>
      <c r="F56" s="42"/>
      <c r="G56" s="42">
        <f>SUM(G46:G55)</f>
        <v>4403.5200000000004</v>
      </c>
    </row>
    <row r="57" spans="1:7" ht="25.5" hidden="1" x14ac:dyDescent="0.25">
      <c r="A57" s="26">
        <v>3</v>
      </c>
      <c r="B57" s="99" t="s">
        <v>88</v>
      </c>
      <c r="C57" s="112"/>
      <c r="D57" s="26" t="s">
        <v>7</v>
      </c>
      <c r="E57" s="34"/>
      <c r="F57" s="35"/>
      <c r="G57" s="35">
        <f>E57*F57</f>
        <v>0</v>
      </c>
    </row>
    <row r="58" spans="1:7" ht="25.5" hidden="1" x14ac:dyDescent="0.25">
      <c r="A58" s="26"/>
      <c r="B58" s="99" t="s">
        <v>88</v>
      </c>
      <c r="C58" s="112"/>
      <c r="D58" s="26" t="s">
        <v>7</v>
      </c>
      <c r="E58" s="34"/>
      <c r="F58" s="35"/>
      <c r="G58" s="35">
        <f t="shared" ref="G58:G59" si="2">E58*F58</f>
        <v>0</v>
      </c>
    </row>
    <row r="59" spans="1:7" ht="25.5" hidden="1" x14ac:dyDescent="0.25">
      <c r="A59" s="26"/>
      <c r="B59" s="99" t="s">
        <v>88</v>
      </c>
      <c r="C59" s="112"/>
      <c r="D59" s="26" t="s">
        <v>7</v>
      </c>
      <c r="E59" s="34"/>
      <c r="F59" s="35"/>
      <c r="G59" s="35">
        <f t="shared" si="2"/>
        <v>0</v>
      </c>
    </row>
    <row r="60" spans="1:7" ht="25.5" hidden="1" x14ac:dyDescent="0.25">
      <c r="A60" s="26"/>
      <c r="B60" s="99" t="s">
        <v>88</v>
      </c>
      <c r="C60" s="112"/>
      <c r="D60" s="26" t="s">
        <v>7</v>
      </c>
      <c r="E60" s="34"/>
      <c r="F60" s="35"/>
      <c r="G60" s="35">
        <f>E60*F60</f>
        <v>0</v>
      </c>
    </row>
    <row r="61" spans="1:7" ht="25.5" hidden="1" x14ac:dyDescent="0.25">
      <c r="A61" s="26"/>
      <c r="B61" s="99" t="s">
        <v>88</v>
      </c>
      <c r="C61" s="112"/>
      <c r="D61" s="26" t="s">
        <v>7</v>
      </c>
      <c r="E61" s="34"/>
      <c r="F61" s="35"/>
      <c r="G61" s="35">
        <f>E61*F61</f>
        <v>0</v>
      </c>
    </row>
    <row r="62" spans="1:7" ht="25.5" hidden="1" x14ac:dyDescent="0.25">
      <c r="A62" s="40"/>
      <c r="B62" s="98"/>
      <c r="C62" s="107" t="s">
        <v>9</v>
      </c>
      <c r="D62" s="40"/>
      <c r="E62" s="41"/>
      <c r="F62" s="42"/>
      <c r="G62" s="42">
        <f>SUM(G57:G61)</f>
        <v>0</v>
      </c>
    </row>
    <row r="63" spans="1:7" ht="25.5" x14ac:dyDescent="0.25">
      <c r="A63" s="43">
        <v>3</v>
      </c>
      <c r="B63" s="91" t="s">
        <v>25</v>
      </c>
      <c r="C63" s="112" t="s">
        <v>297</v>
      </c>
      <c r="D63" s="26" t="s">
        <v>7</v>
      </c>
      <c r="E63" s="34">
        <v>35</v>
      </c>
      <c r="F63" s="35">
        <v>107.99</v>
      </c>
      <c r="G63" s="35">
        <f>E63*F63</f>
        <v>3779.6499999999996</v>
      </c>
    </row>
    <row r="64" spans="1:7" ht="25.5" x14ac:dyDescent="0.25">
      <c r="A64" s="40"/>
      <c r="B64" s="98"/>
      <c r="C64" s="107" t="s">
        <v>9</v>
      </c>
      <c r="D64" s="40"/>
      <c r="E64" s="41"/>
      <c r="F64" s="42"/>
      <c r="G64" s="42">
        <f>SUM(G63)</f>
        <v>3779.6499999999996</v>
      </c>
    </row>
    <row r="65" spans="1:7" x14ac:dyDescent="0.25">
      <c r="A65" s="92">
        <v>4</v>
      </c>
      <c r="B65" s="95" t="s">
        <v>26</v>
      </c>
      <c r="C65" s="112" t="s">
        <v>322</v>
      </c>
      <c r="D65" s="26" t="s">
        <v>7</v>
      </c>
      <c r="E65" s="34">
        <f>9+5+2</f>
        <v>16</v>
      </c>
      <c r="F65" s="35"/>
      <c r="G65" s="35">
        <f>4032+2340+113</f>
        <v>6485</v>
      </c>
    </row>
    <row r="66" spans="1:7" x14ac:dyDescent="0.25">
      <c r="A66" s="93"/>
      <c r="B66" s="96"/>
      <c r="C66" s="112" t="s">
        <v>278</v>
      </c>
      <c r="D66" s="26" t="s">
        <v>7</v>
      </c>
      <c r="E66" s="34">
        <v>4</v>
      </c>
      <c r="F66" s="35">
        <v>220</v>
      </c>
      <c r="G66" s="35">
        <v>880</v>
      </c>
    </row>
    <row r="67" spans="1:7" x14ac:dyDescent="0.25">
      <c r="A67" s="93"/>
      <c r="B67" s="96"/>
      <c r="C67" s="112" t="s">
        <v>323</v>
      </c>
      <c r="D67" s="26" t="s">
        <v>7</v>
      </c>
      <c r="E67" s="34">
        <f>2+1</f>
        <v>3</v>
      </c>
      <c r="F67" s="35"/>
      <c r="G67" s="35">
        <f>1900+1200</f>
        <v>3100</v>
      </c>
    </row>
    <row r="68" spans="1:7" x14ac:dyDescent="0.25">
      <c r="A68" s="93"/>
      <c r="B68" s="96"/>
      <c r="C68" s="112" t="s">
        <v>68</v>
      </c>
      <c r="D68" s="26" t="s">
        <v>7</v>
      </c>
      <c r="E68" s="34">
        <v>1</v>
      </c>
      <c r="F68" s="35">
        <v>47</v>
      </c>
      <c r="G68" s="35">
        <v>47</v>
      </c>
    </row>
    <row r="69" spans="1:7" x14ac:dyDescent="0.25">
      <c r="A69" s="93"/>
      <c r="B69" s="96"/>
      <c r="C69" s="112" t="s">
        <v>324</v>
      </c>
      <c r="D69" s="26" t="s">
        <v>7</v>
      </c>
      <c r="E69" s="34">
        <f>1+1+10</f>
        <v>12</v>
      </c>
      <c r="F69" s="35"/>
      <c r="G69" s="35">
        <f>350+350+3500</f>
        <v>4200</v>
      </c>
    </row>
    <row r="70" spans="1:7" x14ac:dyDescent="0.25">
      <c r="A70" s="93"/>
      <c r="B70" s="96"/>
      <c r="C70" s="112" t="s">
        <v>325</v>
      </c>
      <c r="D70" s="26" t="s">
        <v>7</v>
      </c>
      <c r="E70" s="34">
        <v>1</v>
      </c>
      <c r="F70" s="35">
        <v>90</v>
      </c>
      <c r="G70" s="35">
        <v>90</v>
      </c>
    </row>
    <row r="71" spans="1:7" x14ac:dyDescent="0.25">
      <c r="A71" s="93"/>
      <c r="B71" s="96"/>
      <c r="C71" s="112" t="s">
        <v>326</v>
      </c>
      <c r="D71" s="26" t="s">
        <v>7</v>
      </c>
      <c r="E71" s="34">
        <f>1+12</f>
        <v>13</v>
      </c>
      <c r="F71" s="35"/>
      <c r="G71" s="35">
        <f>360+1860</f>
        <v>2220</v>
      </c>
    </row>
    <row r="72" spans="1:7" x14ac:dyDescent="0.25">
      <c r="A72" s="93"/>
      <c r="B72" s="96"/>
      <c r="C72" s="112" t="s">
        <v>327</v>
      </c>
      <c r="D72" s="26" t="s">
        <v>7</v>
      </c>
      <c r="E72" s="34">
        <v>2</v>
      </c>
      <c r="F72" s="35">
        <v>55</v>
      </c>
      <c r="G72" s="35">
        <v>110</v>
      </c>
    </row>
    <row r="73" spans="1:7" x14ac:dyDescent="0.25">
      <c r="A73" s="93"/>
      <c r="B73" s="96"/>
      <c r="C73" s="112" t="s">
        <v>74</v>
      </c>
      <c r="D73" s="26" t="s">
        <v>7</v>
      </c>
      <c r="E73" s="34">
        <v>4</v>
      </c>
      <c r="F73" s="35">
        <v>24.5</v>
      </c>
      <c r="G73" s="35">
        <v>98</v>
      </c>
    </row>
    <row r="74" spans="1:7" x14ac:dyDescent="0.25">
      <c r="A74" s="93"/>
      <c r="B74" s="96"/>
      <c r="C74" s="112" t="s">
        <v>81</v>
      </c>
      <c r="D74" s="26" t="s">
        <v>7</v>
      </c>
      <c r="E74" s="34">
        <f>1+2</f>
        <v>3</v>
      </c>
      <c r="F74" s="35"/>
      <c r="G74" s="35">
        <f>87.75+54</f>
        <v>141.75</v>
      </c>
    </row>
    <row r="75" spans="1:7" x14ac:dyDescent="0.25">
      <c r="A75" s="93"/>
      <c r="B75" s="96"/>
      <c r="C75" s="112" t="s">
        <v>328</v>
      </c>
      <c r="D75" s="26" t="s">
        <v>7</v>
      </c>
      <c r="E75" s="34">
        <v>20</v>
      </c>
      <c r="F75" s="35">
        <v>5</v>
      </c>
      <c r="G75" s="35">
        <v>100</v>
      </c>
    </row>
    <row r="76" spans="1:7" x14ac:dyDescent="0.25">
      <c r="A76" s="93"/>
      <c r="B76" s="96"/>
      <c r="C76" s="112" t="s">
        <v>329</v>
      </c>
      <c r="D76" s="26" t="s">
        <v>7</v>
      </c>
      <c r="E76" s="34">
        <v>1</v>
      </c>
      <c r="F76" s="35">
        <v>20</v>
      </c>
      <c r="G76" s="35">
        <v>20</v>
      </c>
    </row>
    <row r="77" spans="1:7" x14ac:dyDescent="0.25">
      <c r="A77" s="94"/>
      <c r="B77" s="97"/>
      <c r="C77" s="112" t="s">
        <v>261</v>
      </c>
      <c r="D77" s="26" t="s">
        <v>7</v>
      </c>
      <c r="E77" s="34">
        <v>2</v>
      </c>
      <c r="F77" s="35">
        <v>20</v>
      </c>
      <c r="G77" s="35">
        <v>40</v>
      </c>
    </row>
    <row r="78" spans="1:7" ht="25.5" x14ac:dyDescent="0.25">
      <c r="A78" s="40"/>
      <c r="B78" s="98"/>
      <c r="C78" s="107" t="s">
        <v>9</v>
      </c>
      <c r="D78" s="40"/>
      <c r="E78" s="41"/>
      <c r="F78" s="42"/>
      <c r="G78" s="42">
        <f>SUM(G65:G77)</f>
        <v>17531.75</v>
      </c>
    </row>
    <row r="79" spans="1:7" x14ac:dyDescent="0.25">
      <c r="A79" s="92">
        <v>5</v>
      </c>
      <c r="B79" s="95" t="s">
        <v>45</v>
      </c>
      <c r="C79" s="112" t="s">
        <v>297</v>
      </c>
      <c r="D79" s="26" t="s">
        <v>7</v>
      </c>
      <c r="E79" s="34">
        <v>122</v>
      </c>
      <c r="F79" s="35">
        <v>107.99</v>
      </c>
      <c r="G79" s="35">
        <f t="shared" ref="G79:G91" si="3">E79*F79</f>
        <v>13174.779999999999</v>
      </c>
    </row>
    <row r="80" spans="1:7" x14ac:dyDescent="0.25">
      <c r="A80" s="93"/>
      <c r="B80" s="96"/>
      <c r="C80" s="112" t="s">
        <v>298</v>
      </c>
      <c r="D80" s="26" t="s">
        <v>7</v>
      </c>
      <c r="E80" s="34">
        <v>102</v>
      </c>
      <c r="F80" s="35">
        <v>10</v>
      </c>
      <c r="G80" s="35">
        <f t="shared" si="3"/>
        <v>1020</v>
      </c>
    </row>
    <row r="81" spans="1:7" x14ac:dyDescent="0.25">
      <c r="A81" s="93"/>
      <c r="B81" s="96"/>
      <c r="C81" s="112" t="s">
        <v>58</v>
      </c>
      <c r="D81" s="26" t="s">
        <v>7</v>
      </c>
      <c r="E81" s="34">
        <v>4</v>
      </c>
      <c r="F81" s="35">
        <v>34</v>
      </c>
      <c r="G81" s="35">
        <f t="shared" si="3"/>
        <v>136</v>
      </c>
    </row>
    <row r="82" spans="1:7" x14ac:dyDescent="0.25">
      <c r="A82" s="93"/>
      <c r="B82" s="96"/>
      <c r="C82" s="112" t="s">
        <v>94</v>
      </c>
      <c r="D82" s="26" t="s">
        <v>7</v>
      </c>
      <c r="E82" s="37">
        <v>6</v>
      </c>
      <c r="F82" s="38">
        <v>12</v>
      </c>
      <c r="G82" s="35">
        <f t="shared" si="3"/>
        <v>72</v>
      </c>
    </row>
    <row r="83" spans="1:7" x14ac:dyDescent="0.25">
      <c r="A83" s="93"/>
      <c r="B83" s="96"/>
      <c r="C83" s="112" t="s">
        <v>114</v>
      </c>
      <c r="D83" s="26" t="s">
        <v>7</v>
      </c>
      <c r="E83" s="37">
        <v>3</v>
      </c>
      <c r="F83" s="162">
        <v>80</v>
      </c>
      <c r="G83" s="162">
        <f t="shared" si="3"/>
        <v>240</v>
      </c>
    </row>
    <row r="84" spans="1:7" x14ac:dyDescent="0.25">
      <c r="A84" s="93"/>
      <c r="B84" s="96"/>
      <c r="C84" s="112" t="s">
        <v>110</v>
      </c>
      <c r="D84" s="26" t="s">
        <v>7</v>
      </c>
      <c r="E84" s="37">
        <v>8</v>
      </c>
      <c r="F84" s="162">
        <v>10</v>
      </c>
      <c r="G84" s="162">
        <f t="shared" si="3"/>
        <v>80</v>
      </c>
    </row>
    <row r="85" spans="1:7" x14ac:dyDescent="0.25">
      <c r="A85" s="93"/>
      <c r="B85" s="96"/>
      <c r="C85" s="112" t="s">
        <v>110</v>
      </c>
      <c r="D85" s="26" t="s">
        <v>7</v>
      </c>
      <c r="E85" s="37">
        <v>107</v>
      </c>
      <c r="F85" s="162">
        <v>7</v>
      </c>
      <c r="G85" s="162">
        <f t="shared" si="3"/>
        <v>749</v>
      </c>
    </row>
    <row r="86" spans="1:7" x14ac:dyDescent="0.25">
      <c r="A86" s="93"/>
      <c r="B86" s="96"/>
      <c r="C86" s="112" t="s">
        <v>321</v>
      </c>
      <c r="D86" s="26" t="s">
        <v>7</v>
      </c>
      <c r="E86" s="37">
        <v>5</v>
      </c>
      <c r="F86" s="38">
        <v>15</v>
      </c>
      <c r="G86" s="35">
        <f t="shared" si="3"/>
        <v>75</v>
      </c>
    </row>
    <row r="87" spans="1:7" x14ac:dyDescent="0.25">
      <c r="A87" s="93"/>
      <c r="B87" s="96"/>
      <c r="C87" s="112" t="s">
        <v>282</v>
      </c>
      <c r="D87" s="26" t="s">
        <v>7</v>
      </c>
      <c r="E87" s="37">
        <v>10</v>
      </c>
      <c r="F87" s="38">
        <v>15</v>
      </c>
      <c r="G87" s="35">
        <f t="shared" si="3"/>
        <v>150</v>
      </c>
    </row>
    <row r="88" spans="1:7" x14ac:dyDescent="0.25">
      <c r="A88" s="93"/>
      <c r="B88" s="96"/>
      <c r="C88" s="112" t="s">
        <v>299</v>
      </c>
      <c r="D88" s="26" t="s">
        <v>7</v>
      </c>
      <c r="E88" s="37">
        <v>6</v>
      </c>
      <c r="F88" s="38">
        <v>20</v>
      </c>
      <c r="G88" s="35">
        <f t="shared" si="3"/>
        <v>120</v>
      </c>
    </row>
    <row r="89" spans="1:7" x14ac:dyDescent="0.25">
      <c r="A89" s="93"/>
      <c r="B89" s="96"/>
      <c r="C89" s="112" t="s">
        <v>109</v>
      </c>
      <c r="D89" s="26" t="s">
        <v>7</v>
      </c>
      <c r="E89" s="37">
        <v>16</v>
      </c>
      <c r="F89" s="38">
        <v>7</v>
      </c>
      <c r="G89" s="35">
        <f t="shared" si="3"/>
        <v>112</v>
      </c>
    </row>
    <row r="90" spans="1:7" x14ac:dyDescent="0.25">
      <c r="A90" s="93"/>
      <c r="B90" s="96"/>
      <c r="C90" s="112" t="s">
        <v>335</v>
      </c>
      <c r="D90" s="26" t="s">
        <v>7</v>
      </c>
      <c r="E90" s="37">
        <v>5</v>
      </c>
      <c r="F90" s="38">
        <v>5</v>
      </c>
      <c r="G90" s="35">
        <f t="shared" si="3"/>
        <v>25</v>
      </c>
    </row>
    <row r="91" spans="1:7" x14ac:dyDescent="0.25">
      <c r="A91" s="93"/>
      <c r="B91" s="96"/>
      <c r="C91" s="112" t="s">
        <v>283</v>
      </c>
      <c r="D91" s="26" t="s">
        <v>7</v>
      </c>
      <c r="E91" s="37">
        <v>6</v>
      </c>
      <c r="F91" s="38">
        <v>18</v>
      </c>
      <c r="G91" s="35">
        <f t="shared" si="3"/>
        <v>108</v>
      </c>
    </row>
    <row r="92" spans="1:7" x14ac:dyDescent="0.25">
      <c r="A92" s="93"/>
      <c r="B92" s="96"/>
      <c r="C92" s="112" t="s">
        <v>57</v>
      </c>
      <c r="D92" s="26" t="s">
        <v>7</v>
      </c>
      <c r="E92" s="37">
        <f>7+2+5</f>
        <v>14</v>
      </c>
      <c r="F92" s="38"/>
      <c r="G92" s="35">
        <f>140+60+100</f>
        <v>300</v>
      </c>
    </row>
    <row r="93" spans="1:7" x14ac:dyDescent="0.25">
      <c r="A93" s="93"/>
      <c r="B93" s="96"/>
      <c r="C93" s="112" t="s">
        <v>121</v>
      </c>
      <c r="D93" s="26" t="s">
        <v>7</v>
      </c>
      <c r="E93" s="37">
        <v>700</v>
      </c>
      <c r="F93" s="38">
        <v>0.85</v>
      </c>
      <c r="G93" s="35">
        <f>595</f>
        <v>595</v>
      </c>
    </row>
    <row r="94" spans="1:7" x14ac:dyDescent="0.25">
      <c r="A94" s="93"/>
      <c r="B94" s="96"/>
      <c r="C94" s="112" t="s">
        <v>203</v>
      </c>
      <c r="D94" s="26" t="s">
        <v>7</v>
      </c>
      <c r="E94" s="37">
        <v>150</v>
      </c>
      <c r="F94" s="38">
        <v>0.6</v>
      </c>
      <c r="G94" s="35">
        <v>90</v>
      </c>
    </row>
    <row r="95" spans="1:7" x14ac:dyDescent="0.25">
      <c r="A95" s="93"/>
      <c r="B95" s="96"/>
      <c r="C95" s="112" t="s">
        <v>330</v>
      </c>
      <c r="D95" s="26" t="s">
        <v>331</v>
      </c>
      <c r="E95" s="37">
        <f>4+4+50</f>
        <v>58</v>
      </c>
      <c r="F95" s="38"/>
      <c r="G95" s="35">
        <f>340+340+1100</f>
        <v>1780</v>
      </c>
    </row>
    <row r="96" spans="1:7" x14ac:dyDescent="0.25">
      <c r="A96" s="93"/>
      <c r="B96" s="96"/>
      <c r="C96" s="112" t="s">
        <v>58</v>
      </c>
      <c r="D96" s="26" t="s">
        <v>19</v>
      </c>
      <c r="E96" s="37">
        <v>8</v>
      </c>
      <c r="F96" s="38">
        <v>34</v>
      </c>
      <c r="G96" s="35">
        <v>272</v>
      </c>
    </row>
    <row r="97" spans="1:7" x14ac:dyDescent="0.25">
      <c r="A97" s="93"/>
      <c r="B97" s="96"/>
      <c r="C97" s="112" t="s">
        <v>157</v>
      </c>
      <c r="D97" s="26" t="s">
        <v>332</v>
      </c>
      <c r="E97" s="37">
        <v>5</v>
      </c>
      <c r="F97" s="38">
        <v>150</v>
      </c>
      <c r="G97" s="35">
        <v>750</v>
      </c>
    </row>
    <row r="98" spans="1:7" x14ac:dyDescent="0.25">
      <c r="A98" s="94"/>
      <c r="B98" s="97"/>
      <c r="C98" s="112" t="s">
        <v>172</v>
      </c>
      <c r="D98" s="26" t="s">
        <v>7</v>
      </c>
      <c r="E98" s="37">
        <v>400</v>
      </c>
      <c r="F98" s="38">
        <v>0.5</v>
      </c>
      <c r="G98" s="35">
        <v>200</v>
      </c>
    </row>
    <row r="99" spans="1:7" ht="25.5" x14ac:dyDescent="0.25">
      <c r="A99" s="40"/>
      <c r="B99" s="98"/>
      <c r="C99" s="107" t="s">
        <v>9</v>
      </c>
      <c r="D99" s="40"/>
      <c r="E99" s="41"/>
      <c r="F99" s="42"/>
      <c r="G99" s="42">
        <f>SUM(G79:G98)</f>
        <v>20048.78</v>
      </c>
    </row>
    <row r="100" spans="1:7" x14ac:dyDescent="0.25">
      <c r="A100" s="82">
        <v>6</v>
      </c>
      <c r="B100" s="88" t="s">
        <v>27</v>
      </c>
      <c r="C100" s="112" t="s">
        <v>315</v>
      </c>
      <c r="D100" s="26" t="s">
        <v>7</v>
      </c>
      <c r="E100" s="34">
        <v>1</v>
      </c>
      <c r="F100" s="35">
        <v>1850</v>
      </c>
      <c r="G100" s="35">
        <f t="shared" ref="G100:G112" si="4">E100*F100</f>
        <v>1850</v>
      </c>
    </row>
    <row r="101" spans="1:7" x14ac:dyDescent="0.25">
      <c r="A101" s="87"/>
      <c r="B101" s="89"/>
      <c r="C101" s="112" t="s">
        <v>47</v>
      </c>
      <c r="D101" s="26" t="s">
        <v>7</v>
      </c>
      <c r="E101" s="34">
        <v>1</v>
      </c>
      <c r="F101" s="35">
        <v>2499.21</v>
      </c>
      <c r="G101" s="35">
        <f t="shared" si="4"/>
        <v>2499.21</v>
      </c>
    </row>
    <row r="102" spans="1:7" x14ac:dyDescent="0.25">
      <c r="A102" s="87"/>
      <c r="B102" s="89"/>
      <c r="C102" s="112" t="s">
        <v>316</v>
      </c>
      <c r="D102" s="26" t="s">
        <v>7</v>
      </c>
      <c r="E102" s="37">
        <v>3</v>
      </c>
      <c r="F102" s="38">
        <v>2860</v>
      </c>
      <c r="G102" s="35">
        <f t="shared" si="4"/>
        <v>8580</v>
      </c>
    </row>
    <row r="103" spans="1:7" x14ac:dyDescent="0.25">
      <c r="A103" s="87"/>
      <c r="B103" s="89"/>
      <c r="C103" s="112" t="s">
        <v>317</v>
      </c>
      <c r="D103" s="26" t="s">
        <v>7</v>
      </c>
      <c r="E103" s="37">
        <v>2</v>
      </c>
      <c r="F103" s="38">
        <v>348.35</v>
      </c>
      <c r="G103" s="35">
        <f t="shared" si="4"/>
        <v>696.7</v>
      </c>
    </row>
    <row r="104" spans="1:7" x14ac:dyDescent="0.25">
      <c r="A104" s="87"/>
      <c r="B104" s="89"/>
      <c r="C104" s="112" t="s">
        <v>318</v>
      </c>
      <c r="D104" s="26" t="s">
        <v>7</v>
      </c>
      <c r="E104" s="37">
        <v>28</v>
      </c>
      <c r="F104" s="38">
        <v>37.5</v>
      </c>
      <c r="G104" s="35">
        <f t="shared" si="4"/>
        <v>1050</v>
      </c>
    </row>
    <row r="105" spans="1:7" x14ac:dyDescent="0.25">
      <c r="A105" s="87"/>
      <c r="B105" s="89"/>
      <c r="C105" s="112" t="s">
        <v>333</v>
      </c>
      <c r="D105" s="26" t="s">
        <v>7</v>
      </c>
      <c r="E105" s="37">
        <v>7</v>
      </c>
      <c r="F105" s="38">
        <v>75</v>
      </c>
      <c r="G105" s="35">
        <f t="shared" si="4"/>
        <v>525</v>
      </c>
    </row>
    <row r="106" spans="1:7" x14ac:dyDescent="0.25">
      <c r="A106" s="87"/>
      <c r="B106" s="89"/>
      <c r="C106" s="112" t="s">
        <v>75</v>
      </c>
      <c r="D106" s="26" t="s">
        <v>7</v>
      </c>
      <c r="E106" s="37">
        <v>1</v>
      </c>
      <c r="F106" s="38">
        <v>1083.3499999999999</v>
      </c>
      <c r="G106" s="35">
        <f t="shared" si="4"/>
        <v>1083.3499999999999</v>
      </c>
    </row>
    <row r="107" spans="1:7" x14ac:dyDescent="0.25">
      <c r="A107" s="87"/>
      <c r="B107" s="89"/>
      <c r="C107" s="112" t="s">
        <v>114</v>
      </c>
      <c r="D107" s="26" t="s">
        <v>7</v>
      </c>
      <c r="E107" s="37">
        <v>1</v>
      </c>
      <c r="F107" s="38">
        <v>333.35</v>
      </c>
      <c r="G107" s="35">
        <f t="shared" si="4"/>
        <v>333.35</v>
      </c>
    </row>
    <row r="108" spans="1:7" x14ac:dyDescent="0.25">
      <c r="A108" s="87"/>
      <c r="B108" s="89"/>
      <c r="C108" s="112" t="s">
        <v>48</v>
      </c>
      <c r="D108" s="26" t="s">
        <v>7</v>
      </c>
      <c r="E108" s="37">
        <v>1</v>
      </c>
      <c r="F108" s="38">
        <v>1221.6500000000001</v>
      </c>
      <c r="G108" s="35">
        <f t="shared" si="4"/>
        <v>1221.6500000000001</v>
      </c>
    </row>
    <row r="109" spans="1:7" x14ac:dyDescent="0.25">
      <c r="A109" s="87"/>
      <c r="B109" s="89"/>
      <c r="C109" s="112" t="s">
        <v>150</v>
      </c>
      <c r="D109" s="26" t="s">
        <v>7</v>
      </c>
      <c r="E109" s="37">
        <v>5</v>
      </c>
      <c r="F109" s="38">
        <v>123</v>
      </c>
      <c r="G109" s="35">
        <f t="shared" si="4"/>
        <v>615</v>
      </c>
    </row>
    <row r="110" spans="1:7" x14ac:dyDescent="0.25">
      <c r="A110" s="87"/>
      <c r="B110" s="89"/>
      <c r="C110" s="112" t="s">
        <v>170</v>
      </c>
      <c r="D110" s="26" t="s">
        <v>7</v>
      </c>
      <c r="E110" s="37">
        <v>5</v>
      </c>
      <c r="F110" s="38">
        <v>420</v>
      </c>
      <c r="G110" s="35">
        <f t="shared" si="4"/>
        <v>2100</v>
      </c>
    </row>
    <row r="111" spans="1:7" x14ac:dyDescent="0.25">
      <c r="A111" s="87"/>
      <c r="B111" s="89"/>
      <c r="C111" s="112" t="s">
        <v>17</v>
      </c>
      <c r="D111" s="26" t="s">
        <v>7</v>
      </c>
      <c r="E111" s="37">
        <v>5</v>
      </c>
      <c r="F111" s="38">
        <v>195</v>
      </c>
      <c r="G111" s="35">
        <f t="shared" si="4"/>
        <v>975</v>
      </c>
    </row>
    <row r="112" spans="1:7" x14ac:dyDescent="0.25">
      <c r="A112" s="87"/>
      <c r="B112" s="89"/>
      <c r="C112" s="112" t="s">
        <v>57</v>
      </c>
      <c r="D112" s="26" t="s">
        <v>7</v>
      </c>
      <c r="E112" s="37">
        <v>2</v>
      </c>
      <c r="F112" s="38">
        <v>50</v>
      </c>
      <c r="G112" s="35">
        <f t="shared" si="4"/>
        <v>100</v>
      </c>
    </row>
    <row r="113" spans="1:7" x14ac:dyDescent="0.25">
      <c r="A113" s="87"/>
      <c r="B113" s="89"/>
      <c r="C113" s="112" t="s">
        <v>121</v>
      </c>
      <c r="D113" s="26" t="s">
        <v>7</v>
      </c>
      <c r="E113" s="34">
        <v>100</v>
      </c>
      <c r="F113" s="35">
        <v>0.5</v>
      </c>
      <c r="G113" s="35">
        <f>E113*F113</f>
        <v>50</v>
      </c>
    </row>
    <row r="114" spans="1:7" x14ac:dyDescent="0.25">
      <c r="A114" s="87"/>
      <c r="B114" s="89"/>
      <c r="C114" s="112" t="s">
        <v>203</v>
      </c>
      <c r="D114" s="26" t="s">
        <v>7</v>
      </c>
      <c r="E114" s="34">
        <v>100</v>
      </c>
      <c r="F114" s="35">
        <v>0.5</v>
      </c>
      <c r="G114" s="35">
        <f>E114*F114</f>
        <v>50</v>
      </c>
    </row>
    <row r="115" spans="1:7" x14ac:dyDescent="0.25">
      <c r="A115" s="87"/>
      <c r="B115" s="89"/>
      <c r="C115" s="112" t="s">
        <v>330</v>
      </c>
      <c r="D115" s="26" t="s">
        <v>7</v>
      </c>
      <c r="E115" s="34">
        <f>3+4</f>
        <v>7</v>
      </c>
      <c r="F115" s="35"/>
      <c r="G115" s="35">
        <f>120+160</f>
        <v>280</v>
      </c>
    </row>
    <row r="116" spans="1:7" x14ac:dyDescent="0.25">
      <c r="A116" s="87"/>
      <c r="B116" s="89"/>
      <c r="C116" s="112" t="s">
        <v>298</v>
      </c>
      <c r="D116" s="26" t="s">
        <v>7</v>
      </c>
      <c r="E116" s="34">
        <v>102</v>
      </c>
      <c r="F116" s="35">
        <v>5</v>
      </c>
      <c r="G116" s="35">
        <v>510</v>
      </c>
    </row>
    <row r="117" spans="1:7" x14ac:dyDescent="0.25">
      <c r="A117" s="87"/>
      <c r="B117" s="89"/>
      <c r="C117" s="112" t="s">
        <v>58</v>
      </c>
      <c r="D117" s="26" t="s">
        <v>19</v>
      </c>
      <c r="E117" s="34">
        <v>5</v>
      </c>
      <c r="F117" s="35">
        <v>30</v>
      </c>
      <c r="G117" s="35">
        <v>150</v>
      </c>
    </row>
    <row r="118" spans="1:7" x14ac:dyDescent="0.25">
      <c r="A118" s="87"/>
      <c r="B118" s="89"/>
      <c r="C118" s="112" t="s">
        <v>334</v>
      </c>
      <c r="D118" s="26" t="s">
        <v>7</v>
      </c>
      <c r="E118" s="34">
        <v>3</v>
      </c>
      <c r="F118" s="35">
        <v>50</v>
      </c>
      <c r="G118" s="35">
        <v>150</v>
      </c>
    </row>
    <row r="119" spans="1:7" x14ac:dyDescent="0.25">
      <c r="A119" s="87"/>
      <c r="B119" s="89"/>
      <c r="C119" s="112" t="s">
        <v>110</v>
      </c>
      <c r="D119" s="26" t="s">
        <v>7</v>
      </c>
      <c r="E119" s="34">
        <v>8</v>
      </c>
      <c r="F119" s="35">
        <v>10</v>
      </c>
      <c r="G119" s="35">
        <v>80</v>
      </c>
    </row>
    <row r="120" spans="1:7" x14ac:dyDescent="0.25">
      <c r="A120" s="87"/>
      <c r="B120" s="89"/>
      <c r="C120" s="112" t="s">
        <v>109</v>
      </c>
      <c r="D120" s="26" t="s">
        <v>7</v>
      </c>
      <c r="E120" s="34">
        <v>106</v>
      </c>
      <c r="F120" s="35">
        <v>10</v>
      </c>
      <c r="G120" s="35">
        <v>1060</v>
      </c>
    </row>
    <row r="121" spans="1:7" x14ac:dyDescent="0.25">
      <c r="A121" s="87"/>
      <c r="B121" s="89"/>
      <c r="C121" s="112" t="s">
        <v>299</v>
      </c>
      <c r="D121" s="26" t="s">
        <v>7</v>
      </c>
      <c r="E121" s="34">
        <v>7</v>
      </c>
      <c r="F121" s="35">
        <v>10</v>
      </c>
      <c r="G121" s="35">
        <v>70</v>
      </c>
    </row>
    <row r="122" spans="1:7" x14ac:dyDescent="0.25">
      <c r="A122" s="87"/>
      <c r="B122" s="89"/>
      <c r="C122" s="112" t="s">
        <v>335</v>
      </c>
      <c r="D122" s="26" t="s">
        <v>7</v>
      </c>
      <c r="E122" s="34">
        <v>5</v>
      </c>
      <c r="F122" s="35">
        <v>10</v>
      </c>
      <c r="G122" s="35">
        <v>50</v>
      </c>
    </row>
    <row r="123" spans="1:7" x14ac:dyDescent="0.25">
      <c r="A123" s="87"/>
      <c r="B123" s="89"/>
      <c r="C123" s="112" t="s">
        <v>283</v>
      </c>
      <c r="D123" s="26" t="s">
        <v>7</v>
      </c>
      <c r="E123" s="34">
        <v>6</v>
      </c>
      <c r="F123" s="35">
        <v>15</v>
      </c>
      <c r="G123" s="35">
        <v>90</v>
      </c>
    </row>
    <row r="124" spans="1:7" x14ac:dyDescent="0.25">
      <c r="A124" s="83"/>
      <c r="B124" s="90"/>
      <c r="C124" s="112" t="s">
        <v>347</v>
      </c>
      <c r="D124" s="26" t="s">
        <v>7</v>
      </c>
      <c r="E124" s="34">
        <v>17</v>
      </c>
      <c r="F124" s="35">
        <v>14159.08</v>
      </c>
      <c r="G124" s="35">
        <v>240704.36</v>
      </c>
    </row>
    <row r="125" spans="1:7" ht="25.5" x14ac:dyDescent="0.25">
      <c r="A125" s="40"/>
      <c r="B125" s="98"/>
      <c r="C125" s="107" t="s">
        <v>9</v>
      </c>
      <c r="D125" s="40"/>
      <c r="E125" s="41"/>
      <c r="F125" s="42"/>
      <c r="G125" s="42">
        <f>SUM(G100:G124)</f>
        <v>264873.62</v>
      </c>
    </row>
    <row r="126" spans="1:7" ht="25.5" x14ac:dyDescent="0.25">
      <c r="A126" s="43">
        <v>7</v>
      </c>
      <c r="B126" s="91" t="s">
        <v>29</v>
      </c>
      <c r="C126" s="112" t="s">
        <v>297</v>
      </c>
      <c r="D126" s="26" t="s">
        <v>7</v>
      </c>
      <c r="E126" s="34">
        <v>44</v>
      </c>
      <c r="F126" s="35">
        <v>107.99</v>
      </c>
      <c r="G126" s="35">
        <f>E126*F126</f>
        <v>4751.5599999999995</v>
      </c>
    </row>
    <row r="127" spans="1:7" ht="25.5" x14ac:dyDescent="0.25">
      <c r="A127" s="40"/>
      <c r="B127" s="98"/>
      <c r="C127" s="107" t="s">
        <v>9</v>
      </c>
      <c r="D127" s="40"/>
      <c r="E127" s="41"/>
      <c r="F127" s="42"/>
      <c r="G127" s="42">
        <f>SUM(G126)</f>
        <v>4751.5599999999995</v>
      </c>
    </row>
    <row r="128" spans="1:7" ht="25.5" x14ac:dyDescent="0.25">
      <c r="A128" s="43">
        <v>8</v>
      </c>
      <c r="B128" s="91" t="s">
        <v>32</v>
      </c>
      <c r="C128" s="112" t="s">
        <v>297</v>
      </c>
      <c r="D128" s="26" t="s">
        <v>7</v>
      </c>
      <c r="E128" s="34">
        <v>25</v>
      </c>
      <c r="F128" s="35">
        <v>107.99</v>
      </c>
      <c r="G128" s="35">
        <f>E128*F128</f>
        <v>2699.75</v>
      </c>
    </row>
    <row r="129" spans="1:7" ht="25.5" x14ac:dyDescent="0.25">
      <c r="A129" s="40"/>
      <c r="B129" s="98"/>
      <c r="C129" s="107" t="s">
        <v>9</v>
      </c>
      <c r="D129" s="40"/>
      <c r="E129" s="41"/>
      <c r="F129" s="42"/>
      <c r="G129" s="42">
        <f>SUM(G128)</f>
        <v>2699.75</v>
      </c>
    </row>
    <row r="130" spans="1:7" ht="25.5" x14ac:dyDescent="0.25">
      <c r="A130" s="43">
        <v>9</v>
      </c>
      <c r="B130" s="91" t="s">
        <v>69</v>
      </c>
      <c r="C130" s="112" t="s">
        <v>347</v>
      </c>
      <c r="D130" s="26" t="s">
        <v>7</v>
      </c>
      <c r="E130" s="34">
        <v>30</v>
      </c>
      <c r="F130" s="35"/>
      <c r="G130" s="35">
        <f>428492.48</f>
        <v>428492.48</v>
      </c>
    </row>
    <row r="131" spans="1:7" ht="25.5" x14ac:dyDescent="0.25">
      <c r="A131" s="40"/>
      <c r="B131" s="98"/>
      <c r="C131" s="107" t="s">
        <v>9</v>
      </c>
      <c r="D131" s="40"/>
      <c r="E131" s="41"/>
      <c r="F131" s="42"/>
      <c r="G131" s="42">
        <f>SUM(G130)</f>
        <v>428492.48</v>
      </c>
    </row>
    <row r="132" spans="1:7" x14ac:dyDescent="0.25">
      <c r="A132" s="82">
        <v>10</v>
      </c>
      <c r="B132" s="88" t="s">
        <v>91</v>
      </c>
      <c r="C132" s="112" t="s">
        <v>315</v>
      </c>
      <c r="D132" s="26" t="s">
        <v>7</v>
      </c>
      <c r="E132" s="34">
        <v>1</v>
      </c>
      <c r="F132" s="35">
        <v>1850</v>
      </c>
      <c r="G132" s="35">
        <f>E132*F132</f>
        <v>1850</v>
      </c>
    </row>
    <row r="133" spans="1:7" x14ac:dyDescent="0.25">
      <c r="A133" s="87"/>
      <c r="B133" s="89"/>
      <c r="C133" s="112" t="s">
        <v>47</v>
      </c>
      <c r="D133" s="26" t="s">
        <v>7</v>
      </c>
      <c r="E133" s="34">
        <v>1</v>
      </c>
      <c r="F133" s="35">
        <v>2499.21</v>
      </c>
      <c r="G133" s="35">
        <f t="shared" ref="G133:G159" si="5">E133*F133</f>
        <v>2499.21</v>
      </c>
    </row>
    <row r="134" spans="1:7" x14ac:dyDescent="0.25">
      <c r="A134" s="87"/>
      <c r="B134" s="89"/>
      <c r="C134" s="112" t="s">
        <v>316</v>
      </c>
      <c r="D134" s="26" t="s">
        <v>7</v>
      </c>
      <c r="E134" s="34">
        <v>3</v>
      </c>
      <c r="F134" s="35">
        <v>2860</v>
      </c>
      <c r="G134" s="35">
        <f t="shared" si="5"/>
        <v>8580</v>
      </c>
    </row>
    <row r="135" spans="1:7" x14ac:dyDescent="0.25">
      <c r="A135" s="87"/>
      <c r="B135" s="89"/>
      <c r="C135" s="112" t="s">
        <v>317</v>
      </c>
      <c r="D135" s="26" t="s">
        <v>7</v>
      </c>
      <c r="E135" s="37">
        <v>1</v>
      </c>
      <c r="F135" s="38">
        <v>348.35</v>
      </c>
      <c r="G135" s="35">
        <f t="shared" si="5"/>
        <v>348.35</v>
      </c>
    </row>
    <row r="136" spans="1:7" x14ac:dyDescent="0.25">
      <c r="A136" s="87"/>
      <c r="B136" s="89"/>
      <c r="C136" s="112" t="s">
        <v>318</v>
      </c>
      <c r="D136" s="26" t="s">
        <v>7</v>
      </c>
      <c r="E136" s="37">
        <v>28</v>
      </c>
      <c r="F136" s="38">
        <v>37.5</v>
      </c>
      <c r="G136" s="35">
        <f t="shared" si="5"/>
        <v>1050</v>
      </c>
    </row>
    <row r="137" spans="1:7" x14ac:dyDescent="0.25">
      <c r="A137" s="87"/>
      <c r="B137" s="89"/>
      <c r="C137" s="112" t="s">
        <v>319</v>
      </c>
      <c r="D137" s="26" t="s">
        <v>7</v>
      </c>
      <c r="E137" s="37">
        <v>7</v>
      </c>
      <c r="F137" s="38">
        <v>75</v>
      </c>
      <c r="G137" s="35">
        <f t="shared" si="5"/>
        <v>525</v>
      </c>
    </row>
    <row r="138" spans="1:7" x14ac:dyDescent="0.25">
      <c r="A138" s="87"/>
      <c r="B138" s="89"/>
      <c r="C138" s="112" t="s">
        <v>75</v>
      </c>
      <c r="D138" s="26" t="s">
        <v>7</v>
      </c>
      <c r="E138" s="37">
        <v>1</v>
      </c>
      <c r="F138" s="38">
        <v>1083.3499999999999</v>
      </c>
      <c r="G138" s="35">
        <f t="shared" si="5"/>
        <v>1083.3499999999999</v>
      </c>
    </row>
    <row r="139" spans="1:7" x14ac:dyDescent="0.25">
      <c r="A139" s="87"/>
      <c r="B139" s="89"/>
      <c r="C139" s="112" t="s">
        <v>114</v>
      </c>
      <c r="D139" s="26" t="s">
        <v>7</v>
      </c>
      <c r="E139" s="37">
        <v>1</v>
      </c>
      <c r="F139" s="38">
        <v>333.35</v>
      </c>
      <c r="G139" s="35">
        <f t="shared" si="5"/>
        <v>333.35</v>
      </c>
    </row>
    <row r="140" spans="1:7" x14ac:dyDescent="0.25">
      <c r="A140" s="87"/>
      <c r="B140" s="89"/>
      <c r="C140" s="112" t="s">
        <v>48</v>
      </c>
      <c r="D140" s="26" t="s">
        <v>7</v>
      </c>
      <c r="E140" s="37">
        <v>1</v>
      </c>
      <c r="F140" s="38">
        <v>1221.6500000000001</v>
      </c>
      <c r="G140" s="35">
        <f t="shared" si="5"/>
        <v>1221.6500000000001</v>
      </c>
    </row>
    <row r="141" spans="1:7" x14ac:dyDescent="0.25">
      <c r="A141" s="87"/>
      <c r="B141" s="89"/>
      <c r="C141" s="112" t="s">
        <v>150</v>
      </c>
      <c r="D141" s="26" t="s">
        <v>7</v>
      </c>
      <c r="E141" s="37">
        <v>3</v>
      </c>
      <c r="F141" s="38">
        <v>123</v>
      </c>
      <c r="G141" s="35">
        <f t="shared" si="5"/>
        <v>369</v>
      </c>
    </row>
    <row r="142" spans="1:7" x14ac:dyDescent="0.25">
      <c r="A142" s="87"/>
      <c r="B142" s="89"/>
      <c r="C142" s="112" t="s">
        <v>170</v>
      </c>
      <c r="D142" s="26" t="s">
        <v>7</v>
      </c>
      <c r="E142" s="37">
        <v>3</v>
      </c>
      <c r="F142" s="38">
        <v>420</v>
      </c>
      <c r="G142" s="35">
        <f t="shared" si="5"/>
        <v>1260</v>
      </c>
    </row>
    <row r="143" spans="1:7" x14ac:dyDescent="0.25">
      <c r="A143" s="87"/>
      <c r="B143" s="89"/>
      <c r="C143" s="112" t="s">
        <v>17</v>
      </c>
      <c r="D143" s="26" t="s">
        <v>7</v>
      </c>
      <c r="E143" s="37">
        <v>3</v>
      </c>
      <c r="F143" s="38">
        <v>195</v>
      </c>
      <c r="G143" s="35">
        <f t="shared" si="5"/>
        <v>585</v>
      </c>
    </row>
    <row r="144" spans="1:7" x14ac:dyDescent="0.25">
      <c r="A144" s="87"/>
      <c r="B144" s="89"/>
      <c r="C144" s="112" t="s">
        <v>161</v>
      </c>
      <c r="D144" s="26" t="s">
        <v>7</v>
      </c>
      <c r="E144" s="37">
        <v>16</v>
      </c>
      <c r="F144" s="38">
        <v>34.75</v>
      </c>
      <c r="G144" s="35">
        <f t="shared" ref="G144:G153" si="6">E144*F144</f>
        <v>556</v>
      </c>
    </row>
    <row r="145" spans="1:7" x14ac:dyDescent="0.25">
      <c r="A145" s="87"/>
      <c r="B145" s="89"/>
      <c r="C145" s="112" t="s">
        <v>314</v>
      </c>
      <c r="D145" s="26" t="s">
        <v>338</v>
      </c>
      <c r="E145" s="37">
        <v>10</v>
      </c>
      <c r="F145" s="38">
        <v>392.94</v>
      </c>
      <c r="G145" s="35">
        <f t="shared" si="6"/>
        <v>3929.4</v>
      </c>
    </row>
    <row r="146" spans="1:7" x14ac:dyDescent="0.25">
      <c r="A146" s="87"/>
      <c r="B146" s="89"/>
      <c r="C146" s="112" t="s">
        <v>313</v>
      </c>
      <c r="D146" s="26" t="s">
        <v>15</v>
      </c>
      <c r="E146" s="37">
        <v>30</v>
      </c>
      <c r="F146" s="38">
        <v>25.08</v>
      </c>
      <c r="G146" s="35">
        <f t="shared" si="6"/>
        <v>752.4</v>
      </c>
    </row>
    <row r="147" spans="1:7" x14ac:dyDescent="0.25">
      <c r="A147" s="87"/>
      <c r="B147" s="89"/>
      <c r="C147" s="112" t="s">
        <v>11</v>
      </c>
      <c r="D147" s="26" t="s">
        <v>7</v>
      </c>
      <c r="E147" s="37">
        <v>16</v>
      </c>
      <c r="F147" s="38">
        <v>122.22</v>
      </c>
      <c r="G147" s="35">
        <f t="shared" si="6"/>
        <v>1955.52</v>
      </c>
    </row>
    <row r="148" spans="1:7" x14ac:dyDescent="0.25">
      <c r="A148" s="87"/>
      <c r="B148" s="89"/>
      <c r="C148" s="112" t="s">
        <v>336</v>
      </c>
      <c r="D148" s="26" t="s">
        <v>7</v>
      </c>
      <c r="E148" s="37">
        <v>3</v>
      </c>
      <c r="F148" s="38">
        <v>82.74</v>
      </c>
      <c r="G148" s="35">
        <f t="shared" si="6"/>
        <v>248.21999999999997</v>
      </c>
    </row>
    <row r="149" spans="1:7" x14ac:dyDescent="0.25">
      <c r="A149" s="87"/>
      <c r="B149" s="89"/>
      <c r="C149" s="112" t="s">
        <v>50</v>
      </c>
      <c r="D149" s="26" t="s">
        <v>7</v>
      </c>
      <c r="E149" s="37">
        <v>2</v>
      </c>
      <c r="F149" s="38">
        <v>1443.88</v>
      </c>
      <c r="G149" s="35">
        <f t="shared" si="6"/>
        <v>2887.76</v>
      </c>
    </row>
    <row r="150" spans="1:7" x14ac:dyDescent="0.25">
      <c r="A150" s="87"/>
      <c r="B150" s="89"/>
      <c r="C150" s="112" t="s">
        <v>309</v>
      </c>
      <c r="D150" s="26" t="s">
        <v>7</v>
      </c>
      <c r="E150" s="37">
        <v>1</v>
      </c>
      <c r="F150" s="38">
        <v>29763.56</v>
      </c>
      <c r="G150" s="35">
        <f t="shared" si="6"/>
        <v>29763.56</v>
      </c>
    </row>
    <row r="151" spans="1:7" x14ac:dyDescent="0.25">
      <c r="A151" s="87"/>
      <c r="B151" s="89"/>
      <c r="C151" s="112" t="s">
        <v>337</v>
      </c>
      <c r="D151" s="26" t="s">
        <v>7</v>
      </c>
      <c r="E151" s="37">
        <v>1</v>
      </c>
      <c r="F151" s="38">
        <v>720</v>
      </c>
      <c r="G151" s="35">
        <f t="shared" si="6"/>
        <v>720</v>
      </c>
    </row>
    <row r="152" spans="1:7" x14ac:dyDescent="0.25">
      <c r="A152" s="87"/>
      <c r="B152" s="89"/>
      <c r="C152" s="112" t="s">
        <v>310</v>
      </c>
      <c r="D152" s="26" t="s">
        <v>7</v>
      </c>
      <c r="E152" s="37">
        <v>3</v>
      </c>
      <c r="F152" s="38">
        <v>1030</v>
      </c>
      <c r="G152" s="35">
        <f t="shared" si="6"/>
        <v>3090</v>
      </c>
    </row>
    <row r="153" spans="1:7" x14ac:dyDescent="0.25">
      <c r="A153" s="87"/>
      <c r="B153" s="89"/>
      <c r="C153" s="112" t="s">
        <v>58</v>
      </c>
      <c r="D153" s="26" t="s">
        <v>19</v>
      </c>
      <c r="E153" s="37">
        <v>1.6</v>
      </c>
      <c r="F153" s="38">
        <v>33.14</v>
      </c>
      <c r="G153" s="35">
        <f t="shared" si="6"/>
        <v>53.024000000000001</v>
      </c>
    </row>
    <row r="154" spans="1:7" x14ac:dyDescent="0.25">
      <c r="A154" s="87"/>
      <c r="B154" s="89"/>
      <c r="C154" s="112" t="s">
        <v>57</v>
      </c>
      <c r="D154" s="26" t="s">
        <v>13</v>
      </c>
      <c r="E154" s="37">
        <f>6+2</f>
        <v>8</v>
      </c>
      <c r="F154" s="38"/>
      <c r="G154" s="35">
        <f>270+135.8</f>
        <v>405.8</v>
      </c>
    </row>
    <row r="155" spans="1:7" x14ac:dyDescent="0.25">
      <c r="A155" s="87"/>
      <c r="B155" s="89"/>
      <c r="C155" s="112" t="s">
        <v>121</v>
      </c>
      <c r="D155" s="26" t="s">
        <v>7</v>
      </c>
      <c r="E155" s="37">
        <v>100</v>
      </c>
      <c r="F155" s="38">
        <v>3.45</v>
      </c>
      <c r="G155" s="35">
        <v>345</v>
      </c>
    </row>
    <row r="156" spans="1:7" x14ac:dyDescent="0.25">
      <c r="A156" s="87"/>
      <c r="B156" s="89"/>
      <c r="C156" s="112" t="s">
        <v>203</v>
      </c>
      <c r="D156" s="26" t="s">
        <v>7</v>
      </c>
      <c r="E156" s="37">
        <v>100</v>
      </c>
      <c r="F156" s="38">
        <v>1.77</v>
      </c>
      <c r="G156" s="35">
        <f t="shared" si="5"/>
        <v>177</v>
      </c>
    </row>
    <row r="157" spans="1:7" x14ac:dyDescent="0.25">
      <c r="A157" s="87"/>
      <c r="B157" s="89"/>
      <c r="C157" s="112" t="s">
        <v>301</v>
      </c>
      <c r="D157" s="26" t="s">
        <v>7</v>
      </c>
      <c r="E157" s="37">
        <f>3+4</f>
        <v>7</v>
      </c>
      <c r="F157" s="38"/>
      <c r="G157" s="35">
        <f>389.7+519.6</f>
        <v>909.3</v>
      </c>
    </row>
    <row r="158" spans="1:7" x14ac:dyDescent="0.25">
      <c r="A158" s="87"/>
      <c r="B158" s="89"/>
      <c r="C158" s="112" t="s">
        <v>335</v>
      </c>
      <c r="D158" s="26" t="s">
        <v>7</v>
      </c>
      <c r="E158" s="37">
        <v>5</v>
      </c>
      <c r="F158" s="38">
        <v>100.59</v>
      </c>
      <c r="G158" s="35">
        <f t="shared" si="5"/>
        <v>502.95000000000005</v>
      </c>
    </row>
    <row r="159" spans="1:7" x14ac:dyDescent="0.25">
      <c r="A159" s="87"/>
      <c r="B159" s="89"/>
      <c r="C159" s="112" t="s">
        <v>283</v>
      </c>
      <c r="D159" s="26" t="s">
        <v>7</v>
      </c>
      <c r="E159" s="37">
        <v>6</v>
      </c>
      <c r="F159" s="38">
        <v>72</v>
      </c>
      <c r="G159" s="35">
        <f t="shared" si="5"/>
        <v>432</v>
      </c>
    </row>
    <row r="160" spans="1:7" x14ac:dyDescent="0.25">
      <c r="A160" s="87"/>
      <c r="B160" s="89"/>
      <c r="C160" s="112" t="s">
        <v>51</v>
      </c>
      <c r="D160" s="26" t="s">
        <v>7</v>
      </c>
      <c r="E160" s="37">
        <f>53+50+6</f>
        <v>109</v>
      </c>
      <c r="F160" s="38"/>
      <c r="G160" s="35">
        <f>7897+7450+750</f>
        <v>16097</v>
      </c>
    </row>
    <row r="161" spans="1:7" x14ac:dyDescent="0.25">
      <c r="A161" s="87"/>
      <c r="B161" s="89"/>
      <c r="C161" s="112" t="s">
        <v>339</v>
      </c>
      <c r="D161" s="26" t="s">
        <v>19</v>
      </c>
      <c r="E161" s="37">
        <v>4</v>
      </c>
      <c r="F161" s="38">
        <v>67.2</v>
      </c>
      <c r="G161" s="35">
        <v>268.8</v>
      </c>
    </row>
    <row r="162" spans="1:7" x14ac:dyDescent="0.25">
      <c r="A162" s="87"/>
      <c r="B162" s="89"/>
      <c r="C162" s="112" t="s">
        <v>110</v>
      </c>
      <c r="D162" s="26" t="s">
        <v>7</v>
      </c>
      <c r="E162" s="37">
        <v>8</v>
      </c>
      <c r="F162" s="38">
        <v>31.8</v>
      </c>
      <c r="G162" s="35">
        <v>254.4</v>
      </c>
    </row>
    <row r="163" spans="1:7" x14ac:dyDescent="0.25">
      <c r="A163" s="87"/>
      <c r="B163" s="89"/>
      <c r="C163" s="112" t="s">
        <v>109</v>
      </c>
      <c r="D163" s="26" t="s">
        <v>7</v>
      </c>
      <c r="E163" s="37">
        <v>107</v>
      </c>
      <c r="F163" s="38">
        <v>18.75</v>
      </c>
      <c r="G163" s="35">
        <v>2006.25</v>
      </c>
    </row>
    <row r="164" spans="1:7" x14ac:dyDescent="0.25">
      <c r="A164" s="87"/>
      <c r="B164" s="89"/>
      <c r="C164" s="112" t="s">
        <v>94</v>
      </c>
      <c r="D164" s="26" t="s">
        <v>7</v>
      </c>
      <c r="E164" s="37">
        <v>7</v>
      </c>
      <c r="F164" s="38">
        <v>53.17</v>
      </c>
      <c r="G164" s="35">
        <v>372.19</v>
      </c>
    </row>
    <row r="165" spans="1:7" x14ac:dyDescent="0.25">
      <c r="A165" s="87"/>
      <c r="B165" s="89"/>
      <c r="C165" s="112" t="s">
        <v>114</v>
      </c>
      <c r="D165" s="26" t="s">
        <v>7</v>
      </c>
      <c r="E165" s="37">
        <v>4</v>
      </c>
      <c r="F165" s="38">
        <v>899</v>
      </c>
      <c r="G165" s="35">
        <v>3596</v>
      </c>
    </row>
    <row r="166" spans="1:7" x14ac:dyDescent="0.25">
      <c r="A166" s="87"/>
      <c r="B166" s="89"/>
      <c r="C166" s="112" t="s">
        <v>321</v>
      </c>
      <c r="D166" s="26" t="s">
        <v>7</v>
      </c>
      <c r="E166" s="37">
        <v>5</v>
      </c>
      <c r="F166" s="38">
        <v>103.2</v>
      </c>
      <c r="G166" s="35">
        <v>516</v>
      </c>
    </row>
    <row r="167" spans="1:7" x14ac:dyDescent="0.25">
      <c r="A167" s="83"/>
      <c r="B167" s="90"/>
      <c r="C167" s="112" t="s">
        <v>299</v>
      </c>
      <c r="D167" s="26" t="s">
        <v>7</v>
      </c>
      <c r="E167" s="37">
        <v>6</v>
      </c>
      <c r="F167" s="38">
        <v>42.51</v>
      </c>
      <c r="G167" s="35">
        <v>255.06</v>
      </c>
    </row>
    <row r="168" spans="1:7" ht="25.5" x14ac:dyDescent="0.25">
      <c r="A168" s="40"/>
      <c r="B168" s="98"/>
      <c r="C168" s="107" t="s">
        <v>9</v>
      </c>
      <c r="D168" s="40"/>
      <c r="E168" s="41"/>
      <c r="F168" s="42"/>
      <c r="G168" s="42">
        <f>SUM(G132:G167)</f>
        <v>89798.544000000009</v>
      </c>
    </row>
    <row r="169" spans="1:7" ht="25.5" x14ac:dyDescent="0.25">
      <c r="A169" s="43">
        <v>11</v>
      </c>
      <c r="B169" s="91" t="s">
        <v>35</v>
      </c>
      <c r="C169" s="112" t="s">
        <v>297</v>
      </c>
      <c r="D169" s="26" t="s">
        <v>7</v>
      </c>
      <c r="E169" s="34">
        <v>100</v>
      </c>
      <c r="F169" s="35">
        <v>107.99</v>
      </c>
      <c r="G169" s="35">
        <f>E169*F169</f>
        <v>10799</v>
      </c>
    </row>
    <row r="170" spans="1:7" ht="25.5" x14ac:dyDescent="0.25">
      <c r="A170" s="40"/>
      <c r="B170" s="98"/>
      <c r="C170" s="107" t="s">
        <v>9</v>
      </c>
      <c r="D170" s="40"/>
      <c r="E170" s="41"/>
      <c r="F170" s="42"/>
      <c r="G170" s="42">
        <f>SUM(G169)</f>
        <v>10799</v>
      </c>
    </row>
    <row r="171" spans="1:7" x14ac:dyDescent="0.25">
      <c r="A171" s="82">
        <v>12</v>
      </c>
      <c r="B171" s="88" t="s">
        <v>72</v>
      </c>
      <c r="C171" s="112" t="s">
        <v>57</v>
      </c>
      <c r="D171" s="26" t="s">
        <v>7</v>
      </c>
      <c r="E171" s="34">
        <f>8+3</f>
        <v>11</v>
      </c>
      <c r="F171" s="35"/>
      <c r="G171" s="35">
        <f>400+135</f>
        <v>535</v>
      </c>
    </row>
    <row r="172" spans="1:7" x14ac:dyDescent="0.25">
      <c r="A172" s="87"/>
      <c r="B172" s="89"/>
      <c r="C172" s="112" t="s">
        <v>121</v>
      </c>
      <c r="D172" s="26" t="s">
        <v>7</v>
      </c>
      <c r="E172" s="34">
        <v>150</v>
      </c>
      <c r="F172" s="35">
        <v>1</v>
      </c>
      <c r="G172" s="35">
        <f t="shared" ref="G172:G181" si="7">E172*F172</f>
        <v>150</v>
      </c>
    </row>
    <row r="173" spans="1:7" x14ac:dyDescent="0.25">
      <c r="A173" s="87"/>
      <c r="B173" s="89"/>
      <c r="C173" s="167" t="s">
        <v>203</v>
      </c>
      <c r="D173" s="26" t="s">
        <v>7</v>
      </c>
      <c r="E173" s="34">
        <v>100</v>
      </c>
      <c r="F173" s="35">
        <v>1</v>
      </c>
      <c r="G173" s="35">
        <f t="shared" si="7"/>
        <v>100</v>
      </c>
    </row>
    <row r="174" spans="1:7" x14ac:dyDescent="0.25">
      <c r="A174" s="87"/>
      <c r="B174" s="89"/>
      <c r="C174" s="112" t="s">
        <v>301</v>
      </c>
      <c r="D174" s="26" t="s">
        <v>7</v>
      </c>
      <c r="E174" s="34">
        <f>4+4</f>
        <v>8</v>
      </c>
      <c r="F174" s="35"/>
      <c r="G174" s="35">
        <f>480+480</f>
        <v>960</v>
      </c>
    </row>
    <row r="175" spans="1:7" x14ac:dyDescent="0.25">
      <c r="A175" s="87"/>
      <c r="B175" s="89"/>
      <c r="C175" s="112" t="s">
        <v>319</v>
      </c>
      <c r="D175" s="26" t="s">
        <v>7</v>
      </c>
      <c r="E175" s="34">
        <v>7</v>
      </c>
      <c r="F175" s="35">
        <v>75</v>
      </c>
      <c r="G175" s="35">
        <f t="shared" si="7"/>
        <v>525</v>
      </c>
    </row>
    <row r="176" spans="1:7" x14ac:dyDescent="0.25">
      <c r="A176" s="87"/>
      <c r="B176" s="89"/>
      <c r="C176" s="112" t="s">
        <v>170</v>
      </c>
      <c r="D176" s="26" t="s">
        <v>7</v>
      </c>
      <c r="E176" s="34">
        <v>5</v>
      </c>
      <c r="F176" s="35">
        <v>420</v>
      </c>
      <c r="G176" s="35">
        <f t="shared" si="7"/>
        <v>2100</v>
      </c>
    </row>
    <row r="177" spans="1:7" x14ac:dyDescent="0.25">
      <c r="A177" s="87"/>
      <c r="B177" s="89"/>
      <c r="C177" s="112" t="s">
        <v>318</v>
      </c>
      <c r="D177" s="26" t="s">
        <v>7</v>
      </c>
      <c r="E177" s="37">
        <v>28</v>
      </c>
      <c r="F177" s="38">
        <v>37.5</v>
      </c>
      <c r="G177" s="35">
        <f t="shared" si="7"/>
        <v>1050</v>
      </c>
    </row>
    <row r="178" spans="1:7" x14ac:dyDescent="0.25">
      <c r="A178" s="87"/>
      <c r="B178" s="89"/>
      <c r="C178" s="168" t="s">
        <v>340</v>
      </c>
      <c r="D178" s="26" t="s">
        <v>7</v>
      </c>
      <c r="E178" s="37">
        <v>1</v>
      </c>
      <c r="F178" s="38">
        <v>5416.65</v>
      </c>
      <c r="G178" s="35">
        <f t="shared" si="7"/>
        <v>5416.65</v>
      </c>
    </row>
    <row r="179" spans="1:7" x14ac:dyDescent="0.25">
      <c r="A179" s="87"/>
      <c r="B179" s="89"/>
      <c r="C179" s="112" t="s">
        <v>48</v>
      </c>
      <c r="D179" s="26" t="s">
        <v>7</v>
      </c>
      <c r="E179" s="37">
        <v>1</v>
      </c>
      <c r="F179" s="35">
        <v>1221.6500000000001</v>
      </c>
      <c r="G179" s="35">
        <f t="shared" si="7"/>
        <v>1221.6500000000001</v>
      </c>
    </row>
    <row r="180" spans="1:7" x14ac:dyDescent="0.25">
      <c r="A180" s="87"/>
      <c r="B180" s="89"/>
      <c r="C180" s="112" t="s">
        <v>317</v>
      </c>
      <c r="D180" s="26" t="s">
        <v>124</v>
      </c>
      <c r="E180" s="34">
        <v>1</v>
      </c>
      <c r="F180" s="35">
        <v>348.35</v>
      </c>
      <c r="G180" s="35">
        <f t="shared" si="7"/>
        <v>348.35</v>
      </c>
    </row>
    <row r="181" spans="1:7" x14ac:dyDescent="0.25">
      <c r="A181" s="87"/>
      <c r="B181" s="89"/>
      <c r="C181" s="112" t="s">
        <v>316</v>
      </c>
      <c r="D181" s="26" t="s">
        <v>124</v>
      </c>
      <c r="E181" s="34">
        <v>3</v>
      </c>
      <c r="F181" s="35">
        <v>2860</v>
      </c>
      <c r="G181" s="35">
        <f t="shared" si="7"/>
        <v>8580</v>
      </c>
    </row>
    <row r="182" spans="1:7" x14ac:dyDescent="0.25">
      <c r="A182" s="87"/>
      <c r="B182" s="89"/>
      <c r="C182" s="112" t="s">
        <v>150</v>
      </c>
      <c r="D182" s="26" t="s">
        <v>7</v>
      </c>
      <c r="E182" s="34">
        <v>5</v>
      </c>
      <c r="F182" s="35">
        <v>123</v>
      </c>
      <c r="G182" s="35">
        <f t="shared" ref="G182:G187" si="8">E182*F182</f>
        <v>615</v>
      </c>
    </row>
    <row r="183" spans="1:7" x14ac:dyDescent="0.25">
      <c r="A183" s="87"/>
      <c r="B183" s="89"/>
      <c r="C183" s="112" t="s">
        <v>47</v>
      </c>
      <c r="D183" s="26"/>
      <c r="E183" s="34">
        <v>1</v>
      </c>
      <c r="F183" s="35">
        <v>2499.21</v>
      </c>
      <c r="G183" s="35">
        <f t="shared" si="8"/>
        <v>2499.21</v>
      </c>
    </row>
    <row r="184" spans="1:7" x14ac:dyDescent="0.25">
      <c r="A184" s="87"/>
      <c r="B184" s="89"/>
      <c r="C184" s="112" t="s">
        <v>315</v>
      </c>
      <c r="D184" s="26"/>
      <c r="E184" s="34">
        <v>1</v>
      </c>
      <c r="F184" s="35">
        <v>1850</v>
      </c>
      <c r="G184" s="35">
        <f t="shared" si="8"/>
        <v>1850</v>
      </c>
    </row>
    <row r="185" spans="1:7" x14ac:dyDescent="0.25">
      <c r="A185" s="87"/>
      <c r="B185" s="89"/>
      <c r="C185" s="112" t="s">
        <v>17</v>
      </c>
      <c r="D185" s="26"/>
      <c r="E185" s="34">
        <v>5</v>
      </c>
      <c r="F185" s="35">
        <v>195</v>
      </c>
      <c r="G185" s="35">
        <f t="shared" si="8"/>
        <v>975</v>
      </c>
    </row>
    <row r="186" spans="1:7" x14ac:dyDescent="0.25">
      <c r="A186" s="87"/>
      <c r="B186" s="89"/>
      <c r="C186" s="112" t="s">
        <v>75</v>
      </c>
      <c r="D186" s="26"/>
      <c r="E186" s="34">
        <v>1</v>
      </c>
      <c r="F186" s="35">
        <v>1083.3499999999999</v>
      </c>
      <c r="G186" s="35">
        <f t="shared" si="8"/>
        <v>1083.3499999999999</v>
      </c>
    </row>
    <row r="187" spans="1:7" x14ac:dyDescent="0.25">
      <c r="A187" s="83"/>
      <c r="B187" s="90"/>
      <c r="C187" s="112" t="s">
        <v>114</v>
      </c>
      <c r="D187" s="26"/>
      <c r="E187" s="34">
        <v>1</v>
      </c>
      <c r="F187" s="35">
        <v>333.35</v>
      </c>
      <c r="G187" s="35">
        <f t="shared" si="8"/>
        <v>333.35</v>
      </c>
    </row>
    <row r="188" spans="1:7" ht="25.5" x14ac:dyDescent="0.25">
      <c r="A188" s="40"/>
      <c r="B188" s="98"/>
      <c r="C188" s="107" t="s">
        <v>9</v>
      </c>
      <c r="D188" s="40"/>
      <c r="E188" s="41"/>
      <c r="F188" s="42"/>
      <c r="G188" s="42">
        <f>SUM(G171:G187)</f>
        <v>28342.559999999998</v>
      </c>
    </row>
    <row r="189" spans="1:7" x14ac:dyDescent="0.25">
      <c r="A189" s="92">
        <v>13</v>
      </c>
      <c r="B189" s="95" t="s">
        <v>37</v>
      </c>
      <c r="C189" s="112" t="s">
        <v>57</v>
      </c>
      <c r="D189" s="26" t="s">
        <v>7</v>
      </c>
      <c r="E189" s="34">
        <f>7+3</f>
        <v>10</v>
      </c>
      <c r="F189" s="35"/>
      <c r="G189" s="38">
        <f>149.8+155.1</f>
        <v>304.89999999999998</v>
      </c>
    </row>
    <row r="190" spans="1:7" x14ac:dyDescent="0.25">
      <c r="A190" s="93"/>
      <c r="B190" s="96"/>
      <c r="C190" s="112" t="s">
        <v>121</v>
      </c>
      <c r="D190" s="26" t="s">
        <v>7</v>
      </c>
      <c r="E190" s="34">
        <v>150</v>
      </c>
      <c r="F190" s="35">
        <v>0.37</v>
      </c>
      <c r="G190" s="38">
        <f t="shared" ref="G190:G211" si="9">E190*F190</f>
        <v>55.5</v>
      </c>
    </row>
    <row r="191" spans="1:7" x14ac:dyDescent="0.25">
      <c r="A191" s="93"/>
      <c r="B191" s="96"/>
      <c r="C191" s="112" t="s">
        <v>203</v>
      </c>
      <c r="D191" s="26" t="s">
        <v>7</v>
      </c>
      <c r="E191" s="37">
        <v>200</v>
      </c>
      <c r="F191" s="38">
        <v>2.35</v>
      </c>
      <c r="G191" s="38">
        <f t="shared" si="9"/>
        <v>470</v>
      </c>
    </row>
    <row r="192" spans="1:7" x14ac:dyDescent="0.25">
      <c r="A192" s="93"/>
      <c r="B192" s="96"/>
      <c r="C192" s="112" t="s">
        <v>301</v>
      </c>
      <c r="D192" s="26" t="s">
        <v>19</v>
      </c>
      <c r="E192" s="37">
        <f>3+4</f>
        <v>7</v>
      </c>
      <c r="F192" s="38">
        <v>129.9</v>
      </c>
      <c r="G192" s="38">
        <f t="shared" si="9"/>
        <v>909.30000000000007</v>
      </c>
    </row>
    <row r="193" spans="1:7" x14ac:dyDescent="0.25">
      <c r="A193" s="93"/>
      <c r="B193" s="96"/>
      <c r="C193" s="112" t="s">
        <v>341</v>
      </c>
      <c r="D193" s="26" t="s">
        <v>7</v>
      </c>
      <c r="E193" s="37">
        <v>60</v>
      </c>
      <c r="F193" s="38">
        <v>0.25</v>
      </c>
      <c r="G193" s="38">
        <f t="shared" si="9"/>
        <v>15</v>
      </c>
    </row>
    <row r="194" spans="1:7" x14ac:dyDescent="0.25">
      <c r="A194" s="93"/>
      <c r="B194" s="96"/>
      <c r="C194" s="112" t="s">
        <v>58</v>
      </c>
      <c r="D194" s="26" t="s">
        <v>19</v>
      </c>
      <c r="E194" s="37">
        <v>1</v>
      </c>
      <c r="F194" s="38">
        <v>33.5</v>
      </c>
      <c r="G194" s="38">
        <f t="shared" si="9"/>
        <v>33.5</v>
      </c>
    </row>
    <row r="195" spans="1:7" x14ac:dyDescent="0.25">
      <c r="A195" s="93"/>
      <c r="B195" s="96"/>
      <c r="C195" s="112" t="s">
        <v>298</v>
      </c>
      <c r="D195" s="26" t="s">
        <v>7</v>
      </c>
      <c r="E195" s="37">
        <v>14</v>
      </c>
      <c r="F195" s="38">
        <v>9.1</v>
      </c>
      <c r="G195" s="38">
        <f t="shared" si="9"/>
        <v>127.39999999999999</v>
      </c>
    </row>
    <row r="196" spans="1:7" x14ac:dyDescent="0.25">
      <c r="A196" s="93"/>
      <c r="B196" s="96"/>
      <c r="C196" s="112" t="s">
        <v>109</v>
      </c>
      <c r="D196" s="26" t="s">
        <v>7</v>
      </c>
      <c r="E196" s="37">
        <v>16</v>
      </c>
      <c r="F196" s="38">
        <v>17.649999999999999</v>
      </c>
      <c r="G196" s="38">
        <f t="shared" si="9"/>
        <v>282.39999999999998</v>
      </c>
    </row>
    <row r="197" spans="1:7" x14ac:dyDescent="0.25">
      <c r="A197" s="93"/>
      <c r="B197" s="96"/>
      <c r="C197" s="112" t="s">
        <v>342</v>
      </c>
      <c r="D197" s="26" t="s">
        <v>7</v>
      </c>
      <c r="E197" s="37">
        <v>6</v>
      </c>
      <c r="F197" s="38">
        <v>35</v>
      </c>
      <c r="G197" s="38">
        <f t="shared" si="9"/>
        <v>210</v>
      </c>
    </row>
    <row r="198" spans="1:7" x14ac:dyDescent="0.25">
      <c r="A198" s="93"/>
      <c r="B198" s="96"/>
      <c r="C198" s="112" t="s">
        <v>300</v>
      </c>
      <c r="D198" s="26" t="s">
        <v>7</v>
      </c>
      <c r="E198" s="37">
        <v>5</v>
      </c>
      <c r="F198" s="38">
        <v>11</v>
      </c>
      <c r="G198" s="38">
        <f t="shared" si="9"/>
        <v>55</v>
      </c>
    </row>
    <row r="199" spans="1:7" x14ac:dyDescent="0.25">
      <c r="A199" s="93"/>
      <c r="B199" s="96"/>
      <c r="C199" s="112" t="s">
        <v>46</v>
      </c>
      <c r="D199" s="26" t="s">
        <v>7</v>
      </c>
      <c r="E199" s="37">
        <v>55</v>
      </c>
      <c r="F199" s="38">
        <v>12.5</v>
      </c>
      <c r="G199" s="38">
        <f t="shared" si="9"/>
        <v>687.5</v>
      </c>
    </row>
    <row r="200" spans="1:7" x14ac:dyDescent="0.25">
      <c r="A200" s="93"/>
      <c r="B200" s="96"/>
      <c r="C200" s="112" t="s">
        <v>319</v>
      </c>
      <c r="D200" s="26" t="s">
        <v>7</v>
      </c>
      <c r="E200" s="37">
        <v>7</v>
      </c>
      <c r="F200" s="38">
        <v>75</v>
      </c>
      <c r="G200" s="38">
        <f t="shared" si="9"/>
        <v>525</v>
      </c>
    </row>
    <row r="201" spans="1:7" x14ac:dyDescent="0.25">
      <c r="A201" s="93"/>
      <c r="B201" s="96"/>
      <c r="C201" s="112" t="s">
        <v>170</v>
      </c>
      <c r="D201" s="26" t="s">
        <v>7</v>
      </c>
      <c r="E201" s="37">
        <v>5</v>
      </c>
      <c r="F201" s="38">
        <v>420</v>
      </c>
      <c r="G201" s="38">
        <f t="shared" si="9"/>
        <v>2100</v>
      </c>
    </row>
    <row r="202" spans="1:7" x14ac:dyDescent="0.25">
      <c r="A202" s="93"/>
      <c r="B202" s="96"/>
      <c r="C202" s="112" t="s">
        <v>318</v>
      </c>
      <c r="D202" s="26" t="s">
        <v>7</v>
      </c>
      <c r="E202" s="37">
        <v>28</v>
      </c>
      <c r="F202" s="38">
        <v>37.5</v>
      </c>
      <c r="G202" s="38">
        <f t="shared" si="9"/>
        <v>1050</v>
      </c>
    </row>
    <row r="203" spans="1:7" x14ac:dyDescent="0.25">
      <c r="A203" s="93"/>
      <c r="B203" s="96"/>
      <c r="C203" s="112" t="s">
        <v>48</v>
      </c>
      <c r="D203" s="26" t="s">
        <v>7</v>
      </c>
      <c r="E203" s="37">
        <v>1</v>
      </c>
      <c r="F203" s="38">
        <v>1221.6500000000001</v>
      </c>
      <c r="G203" s="38">
        <f t="shared" si="9"/>
        <v>1221.6500000000001</v>
      </c>
    </row>
    <row r="204" spans="1:7" x14ac:dyDescent="0.25">
      <c r="A204" s="93"/>
      <c r="B204" s="96"/>
      <c r="C204" s="112" t="s">
        <v>317</v>
      </c>
      <c r="D204" s="26" t="s">
        <v>7</v>
      </c>
      <c r="E204" s="37">
        <v>2</v>
      </c>
      <c r="F204" s="38">
        <v>348.35</v>
      </c>
      <c r="G204" s="38">
        <f t="shared" si="9"/>
        <v>696.7</v>
      </c>
    </row>
    <row r="205" spans="1:7" x14ac:dyDescent="0.25">
      <c r="A205" s="93"/>
      <c r="B205" s="96"/>
      <c r="C205" s="112" t="s">
        <v>316</v>
      </c>
      <c r="D205" s="26" t="s">
        <v>7</v>
      </c>
      <c r="E205" s="37">
        <v>3</v>
      </c>
      <c r="F205" s="38">
        <v>2860</v>
      </c>
      <c r="G205" s="38">
        <f t="shared" si="9"/>
        <v>8580</v>
      </c>
    </row>
    <row r="206" spans="1:7" x14ac:dyDescent="0.25">
      <c r="A206" s="93"/>
      <c r="B206" s="96"/>
      <c r="C206" s="112" t="s">
        <v>150</v>
      </c>
      <c r="D206" s="26" t="s">
        <v>7</v>
      </c>
      <c r="E206" s="37">
        <v>5</v>
      </c>
      <c r="F206" s="38">
        <v>123</v>
      </c>
      <c r="G206" s="38">
        <f t="shared" si="9"/>
        <v>615</v>
      </c>
    </row>
    <row r="207" spans="1:7" x14ac:dyDescent="0.25">
      <c r="A207" s="93"/>
      <c r="B207" s="96"/>
      <c r="C207" s="112" t="s">
        <v>47</v>
      </c>
      <c r="D207" s="26" t="s">
        <v>7</v>
      </c>
      <c r="E207" s="37">
        <v>1</v>
      </c>
      <c r="F207" s="38">
        <v>2499.21</v>
      </c>
      <c r="G207" s="38">
        <f t="shared" si="9"/>
        <v>2499.21</v>
      </c>
    </row>
    <row r="208" spans="1:7" x14ac:dyDescent="0.25">
      <c r="A208" s="93"/>
      <c r="B208" s="96"/>
      <c r="C208" s="112" t="s">
        <v>315</v>
      </c>
      <c r="D208" s="26" t="s">
        <v>7</v>
      </c>
      <c r="E208" s="37">
        <v>2</v>
      </c>
      <c r="F208" s="38">
        <v>1850</v>
      </c>
      <c r="G208" s="38">
        <f t="shared" si="9"/>
        <v>3700</v>
      </c>
    </row>
    <row r="209" spans="1:7" x14ac:dyDescent="0.25">
      <c r="A209" s="93"/>
      <c r="B209" s="96"/>
      <c r="C209" s="112" t="s">
        <v>17</v>
      </c>
      <c r="D209" s="26" t="s">
        <v>7</v>
      </c>
      <c r="E209" s="37">
        <v>5</v>
      </c>
      <c r="F209" s="38">
        <v>195</v>
      </c>
      <c r="G209" s="38">
        <f t="shared" si="9"/>
        <v>975</v>
      </c>
    </row>
    <row r="210" spans="1:7" x14ac:dyDescent="0.25">
      <c r="A210" s="93"/>
      <c r="B210" s="96"/>
      <c r="C210" s="112" t="s">
        <v>349</v>
      </c>
      <c r="D210" s="26" t="s">
        <v>7</v>
      </c>
      <c r="E210" s="37">
        <v>1</v>
      </c>
      <c r="F210" s="38">
        <v>1083.3499999999999</v>
      </c>
      <c r="G210" s="38">
        <f t="shared" si="9"/>
        <v>1083.3499999999999</v>
      </c>
    </row>
    <row r="211" spans="1:7" x14ac:dyDescent="0.25">
      <c r="A211" s="94"/>
      <c r="B211" s="97"/>
      <c r="C211" s="112" t="s">
        <v>114</v>
      </c>
      <c r="D211" s="26" t="s">
        <v>7</v>
      </c>
      <c r="E211" s="37">
        <v>1</v>
      </c>
      <c r="F211" s="38">
        <v>333.35</v>
      </c>
      <c r="G211" s="38">
        <f t="shared" si="9"/>
        <v>333.35</v>
      </c>
    </row>
    <row r="212" spans="1:7" ht="25.5" x14ac:dyDescent="0.25">
      <c r="A212" s="40"/>
      <c r="B212" s="98"/>
      <c r="C212" s="107" t="s">
        <v>9</v>
      </c>
      <c r="D212" s="40"/>
      <c r="E212" s="41"/>
      <c r="F212" s="42"/>
      <c r="G212" s="42">
        <f>SUM(G189:G211)</f>
        <v>26529.759999999995</v>
      </c>
    </row>
    <row r="213" spans="1:7" x14ac:dyDescent="0.25">
      <c r="A213" s="82">
        <v>14</v>
      </c>
      <c r="B213" s="88" t="s">
        <v>61</v>
      </c>
      <c r="C213" s="112" t="s">
        <v>297</v>
      </c>
      <c r="D213" s="163" t="s">
        <v>7</v>
      </c>
      <c r="E213" s="158">
        <v>84</v>
      </c>
      <c r="F213" s="161">
        <v>107.99</v>
      </c>
      <c r="G213" s="35">
        <f>E213*F213</f>
        <v>9071.16</v>
      </c>
    </row>
    <row r="214" spans="1:7" x14ac:dyDescent="0.25">
      <c r="A214" s="87"/>
      <c r="B214" s="89"/>
      <c r="C214" s="112" t="s">
        <v>314</v>
      </c>
      <c r="D214" s="163" t="s">
        <v>7</v>
      </c>
      <c r="E214" s="158">
        <v>10</v>
      </c>
      <c r="F214" s="161">
        <v>392.94</v>
      </c>
      <c r="G214" s="35">
        <f t="shared" ref="G214:G217" si="10">E214*F214</f>
        <v>3929.4</v>
      </c>
    </row>
    <row r="215" spans="1:7" x14ac:dyDescent="0.25">
      <c r="A215" s="87"/>
      <c r="B215" s="89"/>
      <c r="C215" s="112" t="s">
        <v>313</v>
      </c>
      <c r="D215" s="163" t="s">
        <v>7</v>
      </c>
      <c r="E215" s="158">
        <v>30</v>
      </c>
      <c r="F215" s="161">
        <v>25.08</v>
      </c>
      <c r="G215" s="35">
        <f t="shared" si="10"/>
        <v>752.4</v>
      </c>
    </row>
    <row r="216" spans="1:7" x14ac:dyDescent="0.25">
      <c r="A216" s="87"/>
      <c r="B216" s="89"/>
      <c r="C216" s="112" t="s">
        <v>11</v>
      </c>
      <c r="D216" s="163" t="s">
        <v>7</v>
      </c>
      <c r="E216" s="158">
        <v>16</v>
      </c>
      <c r="F216" s="161">
        <v>122.22</v>
      </c>
      <c r="G216" s="35">
        <f t="shared" si="10"/>
        <v>1955.52</v>
      </c>
    </row>
    <row r="217" spans="1:7" x14ac:dyDescent="0.25">
      <c r="A217" s="87"/>
      <c r="B217" s="89"/>
      <c r="C217" s="112" t="s">
        <v>336</v>
      </c>
      <c r="D217" s="163" t="s">
        <v>7</v>
      </c>
      <c r="E217" s="158">
        <v>2</v>
      </c>
      <c r="F217" s="161">
        <v>82.74</v>
      </c>
      <c r="G217" s="35">
        <f t="shared" si="10"/>
        <v>165.48</v>
      </c>
    </row>
    <row r="218" spans="1:7" x14ac:dyDescent="0.25">
      <c r="A218" s="87"/>
      <c r="B218" s="89"/>
      <c r="C218" s="112" t="s">
        <v>309</v>
      </c>
      <c r="D218" s="163" t="s">
        <v>7</v>
      </c>
      <c r="E218" s="158">
        <v>1</v>
      </c>
      <c r="F218" s="161">
        <v>29763.56</v>
      </c>
      <c r="G218" s="35">
        <f>E218*F218</f>
        <v>29763.56</v>
      </c>
    </row>
    <row r="219" spans="1:7" x14ac:dyDescent="0.25">
      <c r="A219" s="87"/>
      <c r="B219" s="89"/>
      <c r="C219" s="112" t="s">
        <v>343</v>
      </c>
      <c r="D219" s="163" t="s">
        <v>7</v>
      </c>
      <c r="E219" s="158">
        <v>1</v>
      </c>
      <c r="F219" s="161">
        <v>22322.41</v>
      </c>
      <c r="G219" s="35">
        <f t="shared" ref="G219" si="11">E219*F219</f>
        <v>22322.41</v>
      </c>
    </row>
    <row r="220" spans="1:7" x14ac:dyDescent="0.25">
      <c r="A220" s="83"/>
      <c r="B220" s="90"/>
      <c r="C220" s="112" t="s">
        <v>51</v>
      </c>
      <c r="D220" s="163" t="s">
        <v>7</v>
      </c>
      <c r="E220" s="158">
        <f>6+103</f>
        <v>109</v>
      </c>
      <c r="F220" s="161"/>
      <c r="G220" s="35">
        <f>10712+894</f>
        <v>11606</v>
      </c>
    </row>
    <row r="221" spans="1:7" ht="25.5" x14ac:dyDescent="0.25">
      <c r="A221" s="40"/>
      <c r="B221" s="98"/>
      <c r="C221" s="107" t="s">
        <v>9</v>
      </c>
      <c r="D221" s="40"/>
      <c r="E221" s="41"/>
      <c r="F221" s="42"/>
      <c r="G221" s="42">
        <f>SUM(G213:G220)</f>
        <v>79565.930000000008</v>
      </c>
    </row>
    <row r="222" spans="1:7" x14ac:dyDescent="0.25">
      <c r="A222" s="92">
        <v>15</v>
      </c>
      <c r="B222" s="95" t="s">
        <v>44</v>
      </c>
      <c r="C222" s="112" t="s">
        <v>344</v>
      </c>
      <c r="D222" s="26" t="s">
        <v>7</v>
      </c>
      <c r="E222" s="34">
        <v>2</v>
      </c>
      <c r="F222" s="35"/>
      <c r="G222" s="35">
        <v>700</v>
      </c>
    </row>
    <row r="223" spans="1:7" x14ac:dyDescent="0.25">
      <c r="A223" s="94"/>
      <c r="B223" s="97"/>
      <c r="C223" s="112" t="s">
        <v>347</v>
      </c>
      <c r="D223" s="26" t="s">
        <v>7</v>
      </c>
      <c r="E223" s="34">
        <v>30</v>
      </c>
      <c r="F223" s="35">
        <v>14159.08</v>
      </c>
      <c r="G223" s="35">
        <v>424772.4</v>
      </c>
    </row>
    <row r="224" spans="1:7" ht="25.5" x14ac:dyDescent="0.25">
      <c r="A224" s="40"/>
      <c r="B224" s="98"/>
      <c r="C224" s="107" t="s">
        <v>9</v>
      </c>
      <c r="D224" s="40"/>
      <c r="E224" s="41"/>
      <c r="F224" s="42"/>
      <c r="G224" s="42">
        <f>SUM(G222:G223)</f>
        <v>425472.4</v>
      </c>
    </row>
    <row r="225" spans="1:7" s="44" customFormat="1" ht="25.5" hidden="1" x14ac:dyDescent="0.25">
      <c r="A225" s="43"/>
      <c r="B225" s="91" t="s">
        <v>141</v>
      </c>
      <c r="C225" s="112"/>
      <c r="D225" s="26" t="s">
        <v>7</v>
      </c>
      <c r="E225" s="34"/>
      <c r="F225" s="35"/>
      <c r="G225" s="35">
        <f>E225*F225</f>
        <v>0</v>
      </c>
    </row>
    <row r="226" spans="1:7" ht="25.5" hidden="1" x14ac:dyDescent="0.25">
      <c r="A226" s="40"/>
      <c r="B226" s="98"/>
      <c r="C226" s="107" t="s">
        <v>9</v>
      </c>
      <c r="D226" s="40"/>
      <c r="E226" s="41"/>
      <c r="F226" s="42"/>
      <c r="G226" s="42">
        <f>SUM(G225)</f>
        <v>0</v>
      </c>
    </row>
    <row r="227" spans="1:7" x14ac:dyDescent="0.25">
      <c r="A227" s="82">
        <v>16</v>
      </c>
      <c r="B227" s="88" t="s">
        <v>92</v>
      </c>
      <c r="C227" s="112" t="s">
        <v>335</v>
      </c>
      <c r="D227" s="26" t="s">
        <v>7</v>
      </c>
      <c r="E227" s="34">
        <v>5</v>
      </c>
      <c r="F227" s="35"/>
      <c r="G227" s="38">
        <v>350</v>
      </c>
    </row>
    <row r="228" spans="1:7" x14ac:dyDescent="0.25">
      <c r="A228" s="87"/>
      <c r="B228" s="89"/>
      <c r="C228" s="112" t="s">
        <v>283</v>
      </c>
      <c r="D228" s="26" t="s">
        <v>7</v>
      </c>
      <c r="E228" s="34">
        <v>6</v>
      </c>
      <c r="F228" s="35"/>
      <c r="G228" s="38">
        <v>450</v>
      </c>
    </row>
    <row r="229" spans="1:7" x14ac:dyDescent="0.25">
      <c r="A229" s="87"/>
      <c r="B229" s="89"/>
      <c r="C229" s="112" t="s">
        <v>58</v>
      </c>
      <c r="D229" s="26" t="s">
        <v>19</v>
      </c>
      <c r="E229" s="34">
        <v>5</v>
      </c>
      <c r="F229" s="35">
        <v>40</v>
      </c>
      <c r="G229" s="38">
        <v>200</v>
      </c>
    </row>
    <row r="230" spans="1:7" x14ac:dyDescent="0.25">
      <c r="A230" s="87"/>
      <c r="B230" s="89"/>
      <c r="C230" s="112" t="s">
        <v>315</v>
      </c>
      <c r="D230" s="26" t="s">
        <v>7</v>
      </c>
      <c r="E230" s="34">
        <v>1</v>
      </c>
      <c r="F230" s="35">
        <v>1850</v>
      </c>
      <c r="G230" s="38">
        <v>1850</v>
      </c>
    </row>
    <row r="231" spans="1:7" x14ac:dyDescent="0.25">
      <c r="A231" s="87"/>
      <c r="B231" s="89"/>
      <c r="C231" s="112" t="s">
        <v>47</v>
      </c>
      <c r="D231" s="26" t="s">
        <v>7</v>
      </c>
      <c r="E231" s="34">
        <v>1</v>
      </c>
      <c r="F231" s="35">
        <v>2499.21</v>
      </c>
      <c r="G231" s="38">
        <v>2499.21</v>
      </c>
    </row>
    <row r="232" spans="1:7" x14ac:dyDescent="0.25">
      <c r="A232" s="87"/>
      <c r="B232" s="89"/>
      <c r="C232" s="112" t="s">
        <v>316</v>
      </c>
      <c r="D232" s="26" t="s">
        <v>7</v>
      </c>
      <c r="E232" s="34">
        <v>3</v>
      </c>
      <c r="F232" s="35">
        <v>2860</v>
      </c>
      <c r="G232" s="38">
        <v>8580</v>
      </c>
    </row>
    <row r="233" spans="1:7" x14ac:dyDescent="0.25">
      <c r="A233" s="87"/>
      <c r="B233" s="89"/>
      <c r="C233" s="112" t="s">
        <v>317</v>
      </c>
      <c r="D233" s="26" t="s">
        <v>7</v>
      </c>
      <c r="E233" s="34">
        <v>1</v>
      </c>
      <c r="F233" s="35">
        <v>348.35</v>
      </c>
      <c r="G233" s="38">
        <v>348.35</v>
      </c>
    </row>
    <row r="234" spans="1:7" x14ac:dyDescent="0.25">
      <c r="A234" s="87"/>
      <c r="B234" s="89"/>
      <c r="C234" s="112" t="s">
        <v>318</v>
      </c>
      <c r="D234" s="26" t="s">
        <v>7</v>
      </c>
      <c r="E234" s="34">
        <v>28</v>
      </c>
      <c r="F234" s="35">
        <v>37.5</v>
      </c>
      <c r="G234" s="38">
        <v>1050</v>
      </c>
    </row>
    <row r="235" spans="1:7" x14ac:dyDescent="0.25">
      <c r="A235" s="87"/>
      <c r="B235" s="89"/>
      <c r="C235" s="112" t="s">
        <v>319</v>
      </c>
      <c r="D235" s="26" t="s">
        <v>7</v>
      </c>
      <c r="E235" s="34">
        <v>7</v>
      </c>
      <c r="F235" s="35">
        <v>75</v>
      </c>
      <c r="G235" s="38">
        <v>525</v>
      </c>
    </row>
    <row r="236" spans="1:7" x14ac:dyDescent="0.25">
      <c r="A236" s="87"/>
      <c r="B236" s="89"/>
      <c r="C236" s="112" t="s">
        <v>75</v>
      </c>
      <c r="D236" s="26" t="s">
        <v>7</v>
      </c>
      <c r="E236" s="34">
        <v>1</v>
      </c>
      <c r="F236" s="35">
        <v>1083.3499999999999</v>
      </c>
      <c r="G236" s="38">
        <v>1083.3499999999999</v>
      </c>
    </row>
    <row r="237" spans="1:7" x14ac:dyDescent="0.25">
      <c r="A237" s="87"/>
      <c r="B237" s="89"/>
      <c r="C237" s="112" t="s">
        <v>114</v>
      </c>
      <c r="D237" s="26" t="s">
        <v>7</v>
      </c>
      <c r="E237" s="34">
        <v>1</v>
      </c>
      <c r="F237" s="35">
        <v>333.35</v>
      </c>
      <c r="G237" s="38">
        <v>333.35</v>
      </c>
    </row>
    <row r="238" spans="1:7" x14ac:dyDescent="0.25">
      <c r="A238" s="87"/>
      <c r="B238" s="89"/>
      <c r="C238" s="112" t="s">
        <v>48</v>
      </c>
      <c r="D238" s="26" t="s">
        <v>7</v>
      </c>
      <c r="E238" s="34">
        <v>1</v>
      </c>
      <c r="F238" s="35">
        <v>1221.6500000000001</v>
      </c>
      <c r="G238" s="38">
        <v>1221.6500000000001</v>
      </c>
    </row>
    <row r="239" spans="1:7" x14ac:dyDescent="0.25">
      <c r="A239" s="87"/>
      <c r="B239" s="89"/>
      <c r="C239" s="112" t="s">
        <v>150</v>
      </c>
      <c r="D239" s="26" t="s">
        <v>7</v>
      </c>
      <c r="E239" s="34">
        <v>5</v>
      </c>
      <c r="F239" s="35">
        <v>123</v>
      </c>
      <c r="G239" s="38">
        <v>615</v>
      </c>
    </row>
    <row r="240" spans="1:7" x14ac:dyDescent="0.25">
      <c r="A240" s="87"/>
      <c r="B240" s="89"/>
      <c r="C240" s="112" t="s">
        <v>170</v>
      </c>
      <c r="D240" s="26" t="s">
        <v>7</v>
      </c>
      <c r="E240" s="34">
        <v>5</v>
      </c>
      <c r="F240" s="35">
        <v>420</v>
      </c>
      <c r="G240" s="38">
        <v>2100</v>
      </c>
    </row>
    <row r="241" spans="1:7" x14ac:dyDescent="0.25">
      <c r="A241" s="87"/>
      <c r="B241" s="89"/>
      <c r="C241" s="112" t="s">
        <v>17</v>
      </c>
      <c r="D241" s="26" t="s">
        <v>7</v>
      </c>
      <c r="E241" s="34">
        <v>5</v>
      </c>
      <c r="F241" s="35">
        <v>195</v>
      </c>
      <c r="G241" s="38">
        <v>975</v>
      </c>
    </row>
    <row r="242" spans="1:7" x14ac:dyDescent="0.25">
      <c r="A242" s="87"/>
      <c r="B242" s="89"/>
      <c r="C242" s="112" t="s">
        <v>57</v>
      </c>
      <c r="D242" s="26" t="s">
        <v>7</v>
      </c>
      <c r="E242" s="34">
        <f>7+2</f>
        <v>9</v>
      </c>
      <c r="F242" s="35"/>
      <c r="G242" s="38">
        <f>170.8+135.8</f>
        <v>306.60000000000002</v>
      </c>
    </row>
    <row r="243" spans="1:7" x14ac:dyDescent="0.25">
      <c r="A243" s="87"/>
      <c r="B243" s="89"/>
      <c r="C243" s="112" t="s">
        <v>121</v>
      </c>
      <c r="D243" s="26" t="s">
        <v>7</v>
      </c>
      <c r="E243" s="34">
        <v>100</v>
      </c>
      <c r="F243" s="35">
        <v>0.37</v>
      </c>
      <c r="G243" s="38">
        <v>37</v>
      </c>
    </row>
    <row r="244" spans="1:7" x14ac:dyDescent="0.25">
      <c r="A244" s="87"/>
      <c r="B244" s="89"/>
      <c r="C244" s="112" t="s">
        <v>203</v>
      </c>
      <c r="D244" s="26"/>
      <c r="E244" s="34">
        <v>100</v>
      </c>
      <c r="F244" s="35">
        <v>2.37</v>
      </c>
      <c r="G244" s="38">
        <v>237</v>
      </c>
    </row>
    <row r="245" spans="1:7" x14ac:dyDescent="0.25">
      <c r="A245" s="87"/>
      <c r="B245" s="89"/>
      <c r="C245" s="112" t="s">
        <v>301</v>
      </c>
      <c r="D245" s="26"/>
      <c r="E245" s="34">
        <f>3+4</f>
        <v>7</v>
      </c>
      <c r="F245" s="35">
        <f>129.9</f>
        <v>129.9</v>
      </c>
      <c r="G245" s="38">
        <f>389.7+519.6</f>
        <v>909.3</v>
      </c>
    </row>
    <row r="246" spans="1:7" x14ac:dyDescent="0.25">
      <c r="A246" s="83"/>
      <c r="B246" s="90"/>
      <c r="C246" s="112" t="s">
        <v>341</v>
      </c>
      <c r="D246" s="26"/>
      <c r="E246" s="34">
        <v>80</v>
      </c>
      <c r="F246" s="35">
        <v>0.25</v>
      </c>
      <c r="G246" s="38">
        <v>20</v>
      </c>
    </row>
    <row r="247" spans="1:7" ht="25.5" x14ac:dyDescent="0.25">
      <c r="A247" s="40"/>
      <c r="B247" s="98"/>
      <c r="C247" s="107" t="s">
        <v>9</v>
      </c>
      <c r="D247" s="40"/>
      <c r="E247" s="41"/>
      <c r="F247" s="42"/>
      <c r="G247" s="42">
        <f>SUM(G227:G246)</f>
        <v>23690.809999999998</v>
      </c>
    </row>
    <row r="248" spans="1:7" x14ac:dyDescent="0.25">
      <c r="A248" s="92">
        <v>17</v>
      </c>
      <c r="B248" s="95" t="s">
        <v>41</v>
      </c>
      <c r="C248" s="112" t="s">
        <v>203</v>
      </c>
      <c r="D248" s="26" t="s">
        <v>7</v>
      </c>
      <c r="E248" s="34">
        <f>182+98</f>
        <v>280</v>
      </c>
      <c r="F248" s="35"/>
      <c r="G248" s="35">
        <f>145.6+88.2</f>
        <v>233.8</v>
      </c>
    </row>
    <row r="249" spans="1:7" x14ac:dyDescent="0.25">
      <c r="A249" s="93"/>
      <c r="B249" s="96"/>
      <c r="C249" s="112" t="s">
        <v>121</v>
      </c>
      <c r="D249" s="26" t="s">
        <v>7</v>
      </c>
      <c r="E249" s="34">
        <v>300</v>
      </c>
      <c r="F249" s="35">
        <v>0.5</v>
      </c>
      <c r="G249" s="35">
        <v>150</v>
      </c>
    </row>
    <row r="250" spans="1:7" x14ac:dyDescent="0.25">
      <c r="A250" s="93"/>
      <c r="B250" s="96"/>
      <c r="C250" s="112" t="s">
        <v>57</v>
      </c>
      <c r="D250" s="26" t="s">
        <v>7</v>
      </c>
      <c r="E250" s="34">
        <f>10+10</f>
        <v>20</v>
      </c>
      <c r="F250" s="35">
        <v>27</v>
      </c>
      <c r="G250" s="35">
        <f>270+270</f>
        <v>540</v>
      </c>
    </row>
    <row r="251" spans="1:7" x14ac:dyDescent="0.25">
      <c r="A251" s="93"/>
      <c r="B251" s="96"/>
      <c r="C251" s="112" t="s">
        <v>58</v>
      </c>
      <c r="D251" s="26" t="s">
        <v>19</v>
      </c>
      <c r="E251" s="34">
        <v>5</v>
      </c>
      <c r="F251" s="35">
        <v>30</v>
      </c>
      <c r="G251" s="35">
        <v>150</v>
      </c>
    </row>
    <row r="252" spans="1:7" x14ac:dyDescent="0.25">
      <c r="A252" s="93"/>
      <c r="B252" s="96"/>
      <c r="C252" s="112" t="s">
        <v>315</v>
      </c>
      <c r="D252" s="26" t="s">
        <v>7</v>
      </c>
      <c r="E252" s="34">
        <v>1</v>
      </c>
      <c r="F252" s="35">
        <v>1850</v>
      </c>
      <c r="G252" s="35">
        <f>E252*F252</f>
        <v>1850</v>
      </c>
    </row>
    <row r="253" spans="1:7" x14ac:dyDescent="0.25">
      <c r="A253" s="93"/>
      <c r="B253" s="96"/>
      <c r="C253" s="112" t="s">
        <v>47</v>
      </c>
      <c r="D253" s="26" t="s">
        <v>7</v>
      </c>
      <c r="E253" s="34">
        <v>1</v>
      </c>
      <c r="F253" s="35">
        <v>2499.21</v>
      </c>
      <c r="G253" s="35">
        <f t="shared" ref="G253:G265" si="12">E253*F253</f>
        <v>2499.21</v>
      </c>
    </row>
    <row r="254" spans="1:7" x14ac:dyDescent="0.25">
      <c r="A254" s="93"/>
      <c r="B254" s="96"/>
      <c r="C254" s="112" t="s">
        <v>316</v>
      </c>
      <c r="D254" s="26" t="s">
        <v>7</v>
      </c>
      <c r="E254" s="34">
        <v>3</v>
      </c>
      <c r="F254" s="35">
        <v>2860</v>
      </c>
      <c r="G254" s="35">
        <f t="shared" si="12"/>
        <v>8580</v>
      </c>
    </row>
    <row r="255" spans="1:7" x14ac:dyDescent="0.25">
      <c r="A255" s="93"/>
      <c r="B255" s="96"/>
      <c r="C255" s="112" t="s">
        <v>317</v>
      </c>
      <c r="D255" s="26" t="s">
        <v>7</v>
      </c>
      <c r="E255" s="34">
        <v>2</v>
      </c>
      <c r="F255" s="35">
        <v>348.35</v>
      </c>
      <c r="G255" s="35">
        <f t="shared" si="12"/>
        <v>696.7</v>
      </c>
    </row>
    <row r="256" spans="1:7" x14ac:dyDescent="0.25">
      <c r="A256" s="93"/>
      <c r="B256" s="96"/>
      <c r="C256" s="112" t="s">
        <v>350</v>
      </c>
      <c r="D256" s="26" t="s">
        <v>7</v>
      </c>
      <c r="E256" s="34">
        <v>1</v>
      </c>
      <c r="F256" s="35">
        <v>5416.65</v>
      </c>
      <c r="G256" s="35">
        <f t="shared" si="12"/>
        <v>5416.65</v>
      </c>
    </row>
    <row r="257" spans="1:7" x14ac:dyDescent="0.25">
      <c r="A257" s="93"/>
      <c r="B257" s="96"/>
      <c r="C257" s="112" t="s">
        <v>318</v>
      </c>
      <c r="D257" s="26" t="s">
        <v>7</v>
      </c>
      <c r="E257" s="34">
        <v>33</v>
      </c>
      <c r="F257" s="35">
        <v>37.5</v>
      </c>
      <c r="G257" s="35">
        <f t="shared" si="12"/>
        <v>1237.5</v>
      </c>
    </row>
    <row r="258" spans="1:7" x14ac:dyDescent="0.25">
      <c r="A258" s="93"/>
      <c r="B258" s="96"/>
      <c r="C258" s="112" t="s">
        <v>319</v>
      </c>
      <c r="D258" s="26" t="s">
        <v>7</v>
      </c>
      <c r="E258" s="34">
        <v>7</v>
      </c>
      <c r="F258" s="35">
        <v>75</v>
      </c>
      <c r="G258" s="35">
        <f t="shared" si="12"/>
        <v>525</v>
      </c>
    </row>
    <row r="259" spans="1:7" x14ac:dyDescent="0.25">
      <c r="A259" s="93"/>
      <c r="B259" s="96"/>
      <c r="C259" s="112" t="s">
        <v>75</v>
      </c>
      <c r="D259" s="26" t="s">
        <v>7</v>
      </c>
      <c r="E259" s="34">
        <v>1</v>
      </c>
      <c r="F259" s="35">
        <v>1083.3499999999999</v>
      </c>
      <c r="G259" s="35">
        <f t="shared" si="12"/>
        <v>1083.3499999999999</v>
      </c>
    </row>
    <row r="260" spans="1:7" x14ac:dyDescent="0.25">
      <c r="A260" s="93"/>
      <c r="B260" s="96"/>
      <c r="C260" s="112" t="s">
        <v>114</v>
      </c>
      <c r="D260" s="26" t="s">
        <v>7</v>
      </c>
      <c r="E260" s="34">
        <v>1</v>
      </c>
      <c r="F260" s="35">
        <v>333.35</v>
      </c>
      <c r="G260" s="35">
        <f t="shared" si="12"/>
        <v>333.35</v>
      </c>
    </row>
    <row r="261" spans="1:7" x14ac:dyDescent="0.25">
      <c r="A261" s="93"/>
      <c r="B261" s="96"/>
      <c r="C261" s="112" t="s">
        <v>48</v>
      </c>
      <c r="D261" s="26" t="s">
        <v>7</v>
      </c>
      <c r="E261" s="34">
        <v>1</v>
      </c>
      <c r="F261" s="35">
        <v>1221.6500000000001</v>
      </c>
      <c r="G261" s="35">
        <f t="shared" si="12"/>
        <v>1221.6500000000001</v>
      </c>
    </row>
    <row r="262" spans="1:7" x14ac:dyDescent="0.25">
      <c r="A262" s="93"/>
      <c r="B262" s="96"/>
      <c r="C262" s="112" t="s">
        <v>150</v>
      </c>
      <c r="D262" s="26" t="s">
        <v>7</v>
      </c>
      <c r="E262" s="34">
        <v>5</v>
      </c>
      <c r="F262" s="35">
        <v>123</v>
      </c>
      <c r="G262" s="35">
        <f t="shared" si="12"/>
        <v>615</v>
      </c>
    </row>
    <row r="263" spans="1:7" x14ac:dyDescent="0.25">
      <c r="A263" s="93"/>
      <c r="B263" s="96"/>
      <c r="C263" s="112" t="s">
        <v>170</v>
      </c>
      <c r="D263" s="26" t="s">
        <v>7</v>
      </c>
      <c r="E263" s="34">
        <v>5</v>
      </c>
      <c r="F263" s="35">
        <v>420</v>
      </c>
      <c r="G263" s="35">
        <f t="shared" si="12"/>
        <v>2100</v>
      </c>
    </row>
    <row r="264" spans="1:7" x14ac:dyDescent="0.25">
      <c r="A264" s="93"/>
      <c r="B264" s="96"/>
      <c r="C264" s="112" t="s">
        <v>17</v>
      </c>
      <c r="D264" s="26" t="s">
        <v>7</v>
      </c>
      <c r="E264" s="34">
        <v>5</v>
      </c>
      <c r="F264" s="35">
        <v>195</v>
      </c>
      <c r="G264" s="35">
        <f t="shared" si="12"/>
        <v>975</v>
      </c>
    </row>
    <row r="265" spans="1:7" x14ac:dyDescent="0.25">
      <c r="A265" s="94"/>
      <c r="B265" s="97"/>
      <c r="C265" s="112" t="s">
        <v>351</v>
      </c>
      <c r="D265" s="26" t="s">
        <v>7</v>
      </c>
      <c r="E265" s="34">
        <v>1</v>
      </c>
      <c r="F265" s="35">
        <v>35853</v>
      </c>
      <c r="G265" s="35">
        <f t="shared" si="12"/>
        <v>35853</v>
      </c>
    </row>
    <row r="266" spans="1:7" ht="25.5" x14ac:dyDescent="0.25">
      <c r="A266" s="40"/>
      <c r="B266" s="98"/>
      <c r="C266" s="107" t="s">
        <v>9</v>
      </c>
      <c r="D266" s="40"/>
      <c r="E266" s="41"/>
      <c r="F266" s="42"/>
      <c r="G266" s="42">
        <f>SUM(G248:G265)</f>
        <v>64060.21</v>
      </c>
    </row>
    <row r="267" spans="1:7" x14ac:dyDescent="0.25">
      <c r="A267" s="92">
        <v>18</v>
      </c>
      <c r="B267" s="95" t="s">
        <v>70</v>
      </c>
      <c r="C267" s="112" t="s">
        <v>310</v>
      </c>
      <c r="D267" s="26" t="s">
        <v>7</v>
      </c>
      <c r="E267" s="34">
        <v>7</v>
      </c>
      <c r="F267" s="35">
        <v>1030</v>
      </c>
      <c r="G267" s="35">
        <f>E267*F267</f>
        <v>7210</v>
      </c>
    </row>
    <row r="268" spans="1:7" x14ac:dyDescent="0.25">
      <c r="A268" s="94"/>
      <c r="B268" s="97"/>
      <c r="C268" s="112" t="s">
        <v>348</v>
      </c>
      <c r="D268" s="26" t="s">
        <v>23</v>
      </c>
      <c r="E268" s="34">
        <v>2</v>
      </c>
      <c r="F268" s="35">
        <v>200.6</v>
      </c>
      <c r="G268" s="35">
        <f t="shared" ref="G268:G269" si="13">E268*F268</f>
        <v>401.2</v>
      </c>
    </row>
    <row r="269" spans="1:7" ht="25.5" hidden="1" x14ac:dyDescent="0.25">
      <c r="A269" s="43"/>
      <c r="B269" s="91" t="s">
        <v>70</v>
      </c>
      <c r="C269" s="112"/>
      <c r="D269" s="26"/>
      <c r="E269" s="34"/>
      <c r="F269" s="35"/>
      <c r="G269" s="35">
        <f t="shared" si="13"/>
        <v>0</v>
      </c>
    </row>
    <row r="270" spans="1:7" ht="25.5" x14ac:dyDescent="0.25">
      <c r="A270" s="40"/>
      <c r="B270" s="98"/>
      <c r="C270" s="107" t="s">
        <v>9</v>
      </c>
      <c r="D270" s="40"/>
      <c r="E270" s="41"/>
      <c r="F270" s="42"/>
      <c r="G270" s="42">
        <f>SUM(G267:G269)</f>
        <v>7611.2</v>
      </c>
    </row>
    <row r="271" spans="1:7" x14ac:dyDescent="0.25">
      <c r="A271" s="82">
        <v>19</v>
      </c>
      <c r="B271" s="88" t="s">
        <v>96</v>
      </c>
      <c r="C271" s="112" t="s">
        <v>57</v>
      </c>
      <c r="D271" s="26" t="s">
        <v>7</v>
      </c>
      <c r="E271" s="34">
        <f>6+2</f>
        <v>8</v>
      </c>
      <c r="F271" s="35"/>
      <c r="G271" s="38">
        <f>173.4+135.8</f>
        <v>309.20000000000005</v>
      </c>
    </row>
    <row r="272" spans="1:7" x14ac:dyDescent="0.25">
      <c r="A272" s="87"/>
      <c r="B272" s="89"/>
      <c r="C272" s="112" t="s">
        <v>121</v>
      </c>
      <c r="D272" s="26" t="s">
        <v>7</v>
      </c>
      <c r="E272" s="34">
        <v>100</v>
      </c>
      <c r="F272" s="35">
        <v>0.79</v>
      </c>
      <c r="G272" s="38">
        <f t="shared" ref="G272:G273" si="14">E272*F272</f>
        <v>79</v>
      </c>
    </row>
    <row r="273" spans="1:7" x14ac:dyDescent="0.25">
      <c r="A273" s="87"/>
      <c r="B273" s="89"/>
      <c r="C273" s="112" t="s">
        <v>203</v>
      </c>
      <c r="D273" s="26" t="s">
        <v>7</v>
      </c>
      <c r="E273" s="34">
        <v>100</v>
      </c>
      <c r="F273" s="35">
        <v>1.99</v>
      </c>
      <c r="G273" s="38">
        <f t="shared" si="14"/>
        <v>199</v>
      </c>
    </row>
    <row r="274" spans="1:7" x14ac:dyDescent="0.25">
      <c r="A274" s="83"/>
      <c r="B274" s="90"/>
      <c r="C274" s="112" t="s">
        <v>301</v>
      </c>
      <c r="D274" s="26" t="s">
        <v>7</v>
      </c>
      <c r="E274" s="34">
        <f>3+4</f>
        <v>7</v>
      </c>
      <c r="F274" s="35"/>
      <c r="G274" s="38">
        <f>389.7+615</f>
        <v>1004.7</v>
      </c>
    </row>
    <row r="275" spans="1:7" x14ac:dyDescent="0.25">
      <c r="A275" s="40"/>
      <c r="B275" s="40"/>
      <c r="C275" s="107" t="s">
        <v>9</v>
      </c>
      <c r="D275" s="40"/>
      <c r="E275" s="41"/>
      <c r="F275" s="42"/>
      <c r="G275" s="42">
        <f>SUM(G271:G274)</f>
        <v>1591.9</v>
      </c>
    </row>
    <row r="276" spans="1:7" hidden="1" x14ac:dyDescent="0.25">
      <c r="A276" s="43"/>
      <c r="B276" s="43" t="s">
        <v>43</v>
      </c>
      <c r="C276" s="112"/>
      <c r="D276" s="26" t="s">
        <v>7</v>
      </c>
      <c r="E276" s="34"/>
      <c r="F276" s="35"/>
      <c r="G276" s="35">
        <f>E276*F276</f>
        <v>0</v>
      </c>
    </row>
    <row r="277" spans="1:7" hidden="1" x14ac:dyDescent="0.25">
      <c r="A277" s="40"/>
      <c r="B277" s="40"/>
      <c r="C277" s="107" t="s">
        <v>9</v>
      </c>
      <c r="D277" s="40"/>
      <c r="E277" s="41"/>
      <c r="F277" s="42"/>
      <c r="G277" s="42">
        <f>SUM(G276)</f>
        <v>0</v>
      </c>
    </row>
    <row r="278" spans="1:7" x14ac:dyDescent="0.25">
      <c r="A278" s="159" t="s">
        <v>674</v>
      </c>
      <c r="B278" s="160"/>
      <c r="C278" s="169"/>
      <c r="D278" s="45"/>
      <c r="E278" s="49"/>
      <c r="F278" s="50"/>
      <c r="G278" s="50">
        <f>G277+G275+G270+G266+G247+G226+G224+G221+G212+G188+G170+G168+G131+G129+G127+G125+G99+G78+G64+G62+G56+G45+G43</f>
        <v>1597281.774</v>
      </c>
    </row>
    <row r="279" spans="1:7" hidden="1" x14ac:dyDescent="0.25">
      <c r="A279" s="43">
        <v>1</v>
      </c>
      <c r="B279" s="43" t="s">
        <v>97</v>
      </c>
      <c r="C279" s="112" t="s">
        <v>343</v>
      </c>
      <c r="D279" s="26" t="s">
        <v>7</v>
      </c>
      <c r="E279" s="34"/>
      <c r="F279" s="38"/>
      <c r="G279" s="38">
        <f>E279*F279</f>
        <v>0</v>
      </c>
    </row>
    <row r="280" spans="1:7" hidden="1" x14ac:dyDescent="0.25">
      <c r="A280" s="43">
        <v>2</v>
      </c>
      <c r="B280" s="43" t="s">
        <v>97</v>
      </c>
      <c r="C280" s="112" t="s">
        <v>309</v>
      </c>
      <c r="D280" s="26" t="s">
        <v>7</v>
      </c>
      <c r="E280" s="34"/>
      <c r="F280" s="38"/>
      <c r="G280" s="38">
        <f t="shared" ref="G280:G282" si="15">E280*F280</f>
        <v>0</v>
      </c>
    </row>
    <row r="281" spans="1:7" hidden="1" x14ac:dyDescent="0.25">
      <c r="A281" s="43">
        <v>3</v>
      </c>
      <c r="B281" s="43" t="s">
        <v>97</v>
      </c>
      <c r="C281" s="112" t="s">
        <v>345</v>
      </c>
      <c r="D281" s="26" t="s">
        <v>7</v>
      </c>
      <c r="E281" s="34"/>
      <c r="F281" s="38"/>
      <c r="G281" s="38">
        <f t="shared" si="15"/>
        <v>0</v>
      </c>
    </row>
    <row r="282" spans="1:7" hidden="1" x14ac:dyDescent="0.25">
      <c r="A282" s="43">
        <v>4</v>
      </c>
      <c r="B282" s="43" t="s">
        <v>97</v>
      </c>
      <c r="C282" s="112" t="s">
        <v>346</v>
      </c>
      <c r="D282" s="26" t="s">
        <v>7</v>
      </c>
      <c r="E282" s="34"/>
      <c r="F282" s="38"/>
      <c r="G282" s="38">
        <f t="shared" si="15"/>
        <v>0</v>
      </c>
    </row>
    <row r="283" spans="1:7" hidden="1" x14ac:dyDescent="0.25">
      <c r="A283" s="40"/>
      <c r="B283" s="40"/>
      <c r="C283" s="107"/>
      <c r="D283" s="40"/>
      <c r="E283" s="41"/>
      <c r="F283" s="42"/>
      <c r="G283" s="50">
        <f>SUM(G279:G282)</f>
        <v>0</v>
      </c>
    </row>
    <row r="284" spans="1:7" hidden="1" x14ac:dyDescent="0.25">
      <c r="A284" s="45"/>
      <c r="B284" s="45"/>
      <c r="C284" s="169"/>
      <c r="D284" s="45"/>
      <c r="E284" s="49"/>
      <c r="F284" s="50"/>
      <c r="G284" s="51">
        <f>G283+G278</f>
        <v>1597281.774</v>
      </c>
    </row>
    <row r="286" spans="1:7" x14ac:dyDescent="0.25">
      <c r="B286" s="36" t="s">
        <v>63</v>
      </c>
    </row>
  </sheetData>
  <mergeCells count="30">
    <mergeCell ref="A271:A274"/>
    <mergeCell ref="B271:B274"/>
    <mergeCell ref="A227:A246"/>
    <mergeCell ref="B227:B246"/>
    <mergeCell ref="A248:A265"/>
    <mergeCell ref="B248:B265"/>
    <mergeCell ref="A267:A268"/>
    <mergeCell ref="B267:B268"/>
    <mergeCell ref="B171:B187"/>
    <mergeCell ref="B189:B211"/>
    <mergeCell ref="A213:A220"/>
    <mergeCell ref="B213:B220"/>
    <mergeCell ref="B222:B223"/>
    <mergeCell ref="A222:A223"/>
    <mergeCell ref="A1:G1"/>
    <mergeCell ref="A278:B278"/>
    <mergeCell ref="B3:B42"/>
    <mergeCell ref="A3:A42"/>
    <mergeCell ref="A46:A55"/>
    <mergeCell ref="B46:B55"/>
    <mergeCell ref="A65:A77"/>
    <mergeCell ref="B65:B77"/>
    <mergeCell ref="A79:A98"/>
    <mergeCell ref="B79:B98"/>
    <mergeCell ref="A100:A124"/>
    <mergeCell ref="B100:B124"/>
    <mergeCell ref="A132:A167"/>
    <mergeCell ref="A171:A187"/>
    <mergeCell ref="A189:A211"/>
    <mergeCell ref="B132:B167"/>
  </mergeCells>
  <pageMargins left="0.70866141732283472" right="0.70866141732283472" top="0.19685039370078741" bottom="0.27" header="0.31496062992125984" footer="0.31496062992125984"/>
  <pageSetup paperSize="9" scale="65" orientation="landscape" verticalDpi="0" r:id="rId1"/>
  <rowBreaks count="5" manualBreakCount="5">
    <brk id="62" max="16383" man="1"/>
    <brk id="113" max="16383" man="1"/>
    <brk id="170" max="16383" man="1"/>
    <brk id="230" max="14" man="1"/>
    <brk id="28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0"/>
  <sheetViews>
    <sheetView view="pageBreakPreview" zoomScaleNormal="77" zoomScaleSheetLayoutView="100" workbookViewId="0">
      <selection activeCell="A2" sqref="A2"/>
    </sheetView>
  </sheetViews>
  <sheetFormatPr defaultRowHeight="15" x14ac:dyDescent="0.25"/>
  <cols>
    <col min="1" max="1" width="3.85546875" style="36" customWidth="1"/>
    <col min="2" max="2" width="29.42578125" style="36" customWidth="1"/>
    <col min="3" max="3" width="37.140625" style="170" customWidth="1"/>
    <col min="4" max="4" width="11.85546875" style="36" customWidth="1"/>
    <col min="5" max="5" width="9.140625" style="52" customWidth="1"/>
    <col min="6" max="6" width="14.7109375" style="39" customWidth="1"/>
    <col min="7" max="7" width="13.85546875" style="39" customWidth="1"/>
    <col min="8" max="8" width="22.85546875" style="36" hidden="1" customWidth="1"/>
    <col min="9" max="16384" width="9.140625" style="36"/>
  </cols>
  <sheetData>
    <row r="1" spans="1:8" ht="18.75" x14ac:dyDescent="0.25">
      <c r="A1" s="86" t="s">
        <v>353</v>
      </c>
      <c r="B1" s="86"/>
      <c r="C1" s="86"/>
      <c r="D1" s="86"/>
      <c r="E1" s="86"/>
      <c r="F1" s="86"/>
      <c r="G1" s="86"/>
      <c r="H1" s="86"/>
    </row>
    <row r="2" spans="1:8" ht="47.25" x14ac:dyDescent="0.25">
      <c r="A2" s="22" t="s">
        <v>0</v>
      </c>
      <c r="B2" s="23" t="s">
        <v>1</v>
      </c>
      <c r="C2" s="166" t="s">
        <v>2</v>
      </c>
      <c r="D2" s="23" t="s">
        <v>3</v>
      </c>
      <c r="E2" s="24" t="s">
        <v>4</v>
      </c>
      <c r="F2" s="25" t="s">
        <v>5</v>
      </c>
      <c r="G2" s="25" t="s">
        <v>6</v>
      </c>
      <c r="H2" s="20" t="s">
        <v>54</v>
      </c>
    </row>
    <row r="3" spans="1:8" x14ac:dyDescent="0.25">
      <c r="A3" s="82">
        <v>1</v>
      </c>
      <c r="B3" s="88" t="s">
        <v>55</v>
      </c>
      <c r="C3" s="112" t="s">
        <v>354</v>
      </c>
      <c r="D3" s="26" t="s">
        <v>7</v>
      </c>
      <c r="E3" s="34">
        <v>2</v>
      </c>
      <c r="F3" s="35">
        <v>79120</v>
      </c>
      <c r="G3" s="35">
        <v>158240</v>
      </c>
      <c r="H3" s="35" t="s">
        <v>397</v>
      </c>
    </row>
    <row r="4" spans="1:8" x14ac:dyDescent="0.25">
      <c r="A4" s="87"/>
      <c r="B4" s="89"/>
      <c r="C4" s="112" t="s">
        <v>355</v>
      </c>
      <c r="D4" s="26" t="s">
        <v>7</v>
      </c>
      <c r="E4" s="34">
        <v>10</v>
      </c>
      <c r="F4" s="35">
        <v>250</v>
      </c>
      <c r="G4" s="35">
        <v>2500</v>
      </c>
      <c r="H4" s="26" t="s">
        <v>398</v>
      </c>
    </row>
    <row r="5" spans="1:8" x14ac:dyDescent="0.25">
      <c r="A5" s="87"/>
      <c r="B5" s="89"/>
      <c r="C5" s="112" t="s">
        <v>356</v>
      </c>
      <c r="D5" s="26" t="s">
        <v>7</v>
      </c>
      <c r="E5" s="34">
        <v>8</v>
      </c>
      <c r="F5" s="35">
        <v>1950</v>
      </c>
      <c r="G5" s="35">
        <v>15600</v>
      </c>
      <c r="H5" s="26" t="s">
        <v>398</v>
      </c>
    </row>
    <row r="6" spans="1:8" x14ac:dyDescent="0.25">
      <c r="A6" s="87"/>
      <c r="B6" s="89"/>
      <c r="C6" s="112" t="s">
        <v>357</v>
      </c>
      <c r="D6" s="26" t="s">
        <v>7</v>
      </c>
      <c r="E6" s="34">
        <v>11</v>
      </c>
      <c r="F6" s="35">
        <v>2700</v>
      </c>
      <c r="G6" s="35">
        <v>29700</v>
      </c>
      <c r="H6" s="26" t="s">
        <v>398</v>
      </c>
    </row>
    <row r="7" spans="1:8" x14ac:dyDescent="0.25">
      <c r="A7" s="87"/>
      <c r="B7" s="89"/>
      <c r="C7" s="112" t="s">
        <v>358</v>
      </c>
      <c r="D7" s="26" t="s">
        <v>7</v>
      </c>
      <c r="E7" s="34">
        <v>1</v>
      </c>
      <c r="F7" s="35">
        <v>10073.89</v>
      </c>
      <c r="G7" s="35">
        <v>10073.89</v>
      </c>
      <c r="H7" s="26" t="s">
        <v>398</v>
      </c>
    </row>
    <row r="8" spans="1:8" x14ac:dyDescent="0.25">
      <c r="A8" s="87"/>
      <c r="B8" s="89"/>
      <c r="C8" s="112" t="s">
        <v>359</v>
      </c>
      <c r="D8" s="26" t="s">
        <v>7</v>
      </c>
      <c r="E8" s="37">
        <v>4</v>
      </c>
      <c r="F8" s="38">
        <v>11160.69</v>
      </c>
      <c r="G8" s="38">
        <v>44642.76</v>
      </c>
      <c r="H8" s="26" t="s">
        <v>398</v>
      </c>
    </row>
    <row r="9" spans="1:8" x14ac:dyDescent="0.25">
      <c r="A9" s="87"/>
      <c r="B9" s="89"/>
      <c r="C9" s="112" t="s">
        <v>360</v>
      </c>
      <c r="D9" s="26" t="s">
        <v>7</v>
      </c>
      <c r="E9" s="37">
        <v>2</v>
      </c>
      <c r="F9" s="38">
        <v>1000</v>
      </c>
      <c r="G9" s="38">
        <v>2000</v>
      </c>
      <c r="H9" s="26" t="s">
        <v>398</v>
      </c>
    </row>
    <row r="10" spans="1:8" x14ac:dyDescent="0.25">
      <c r="A10" s="87"/>
      <c r="B10" s="89"/>
      <c r="C10" s="112" t="s">
        <v>361</v>
      </c>
      <c r="D10" s="26" t="s">
        <v>7</v>
      </c>
      <c r="E10" s="37">
        <v>1</v>
      </c>
      <c r="F10" s="38">
        <v>850</v>
      </c>
      <c r="G10" s="38">
        <v>850</v>
      </c>
      <c r="H10" s="26" t="s">
        <v>398</v>
      </c>
    </row>
    <row r="11" spans="1:8" x14ac:dyDescent="0.25">
      <c r="A11" s="87"/>
      <c r="B11" s="89"/>
      <c r="C11" s="112" t="s">
        <v>362</v>
      </c>
      <c r="D11" s="26" t="s">
        <v>7</v>
      </c>
      <c r="E11" s="37">
        <v>1</v>
      </c>
      <c r="F11" s="38">
        <v>3586.56</v>
      </c>
      <c r="G11" s="38">
        <v>3586.56</v>
      </c>
      <c r="H11" s="26" t="s">
        <v>398</v>
      </c>
    </row>
    <row r="12" spans="1:8" x14ac:dyDescent="0.25">
      <c r="A12" s="87"/>
      <c r="B12" s="89"/>
      <c r="C12" s="112" t="s">
        <v>363</v>
      </c>
      <c r="D12" s="26" t="s">
        <v>7</v>
      </c>
      <c r="E12" s="37">
        <v>2</v>
      </c>
      <c r="F12" s="38">
        <v>4973.57</v>
      </c>
      <c r="G12" s="38">
        <v>9947.14</v>
      </c>
      <c r="H12" s="26" t="s">
        <v>398</v>
      </c>
    </row>
    <row r="13" spans="1:8" x14ac:dyDescent="0.25">
      <c r="A13" s="87"/>
      <c r="B13" s="89"/>
      <c r="C13" s="112" t="s">
        <v>66</v>
      </c>
      <c r="D13" s="26" t="s">
        <v>7</v>
      </c>
      <c r="E13" s="37">
        <v>1</v>
      </c>
      <c r="F13" s="38">
        <v>20300</v>
      </c>
      <c r="G13" s="38">
        <v>20300</v>
      </c>
      <c r="H13" s="26" t="s">
        <v>398</v>
      </c>
    </row>
    <row r="14" spans="1:8" x14ac:dyDescent="0.25">
      <c r="A14" s="87"/>
      <c r="B14" s="89"/>
      <c r="C14" s="112" t="s">
        <v>376</v>
      </c>
      <c r="D14" s="26" t="s">
        <v>7</v>
      </c>
      <c r="E14" s="37">
        <v>3</v>
      </c>
      <c r="F14" s="38">
        <v>3614.58</v>
      </c>
      <c r="G14" s="38">
        <v>10843.74</v>
      </c>
      <c r="H14" s="26" t="s">
        <v>398</v>
      </c>
    </row>
    <row r="15" spans="1:8" x14ac:dyDescent="0.25">
      <c r="A15" s="87"/>
      <c r="B15" s="89"/>
      <c r="C15" s="112" t="s">
        <v>377</v>
      </c>
      <c r="D15" s="26" t="s">
        <v>7</v>
      </c>
      <c r="E15" s="37">
        <v>6</v>
      </c>
      <c r="F15" s="38">
        <v>412.19</v>
      </c>
      <c r="G15" s="38">
        <v>2473.14</v>
      </c>
      <c r="H15" s="26" t="s">
        <v>398</v>
      </c>
    </row>
    <row r="16" spans="1:8" x14ac:dyDescent="0.25">
      <c r="A16" s="87"/>
      <c r="B16" s="89"/>
      <c r="C16" s="112" t="s">
        <v>378</v>
      </c>
      <c r="D16" s="26" t="s">
        <v>7</v>
      </c>
      <c r="E16" s="37">
        <v>5</v>
      </c>
      <c r="F16" s="38">
        <v>567.37</v>
      </c>
      <c r="G16" s="38">
        <v>2836.85</v>
      </c>
      <c r="H16" s="26" t="s">
        <v>398</v>
      </c>
    </row>
    <row r="17" spans="1:8" x14ac:dyDescent="0.25">
      <c r="A17" s="87"/>
      <c r="B17" s="89"/>
      <c r="C17" s="112" t="s">
        <v>50</v>
      </c>
      <c r="D17" s="26" t="s">
        <v>7</v>
      </c>
      <c r="E17" s="37">
        <v>5</v>
      </c>
      <c r="F17" s="38">
        <v>1443.88</v>
      </c>
      <c r="G17" s="38">
        <v>7219.4</v>
      </c>
      <c r="H17" s="26" t="s">
        <v>398</v>
      </c>
    </row>
    <row r="18" spans="1:8" x14ac:dyDescent="0.25">
      <c r="A18" s="87"/>
      <c r="B18" s="89"/>
      <c r="C18" s="112" t="s">
        <v>379</v>
      </c>
      <c r="D18" s="26" t="s">
        <v>7</v>
      </c>
      <c r="E18" s="37">
        <v>12</v>
      </c>
      <c r="F18" s="38">
        <v>3033.73</v>
      </c>
      <c r="G18" s="38">
        <v>36404.76</v>
      </c>
      <c r="H18" s="26" t="s">
        <v>398</v>
      </c>
    </row>
    <row r="19" spans="1:8" x14ac:dyDescent="0.25">
      <c r="A19" s="87"/>
      <c r="B19" s="89"/>
      <c r="C19" s="112" t="s">
        <v>380</v>
      </c>
      <c r="D19" s="26" t="s">
        <v>7</v>
      </c>
      <c r="E19" s="37">
        <v>1</v>
      </c>
      <c r="F19" s="38">
        <v>185.9</v>
      </c>
      <c r="G19" s="38">
        <v>185.9</v>
      </c>
      <c r="H19" s="26" t="s">
        <v>398</v>
      </c>
    </row>
    <row r="20" spans="1:8" x14ac:dyDescent="0.25">
      <c r="A20" s="87"/>
      <c r="B20" s="89"/>
      <c r="C20" s="112" t="s">
        <v>381</v>
      </c>
      <c r="D20" s="26" t="s">
        <v>7</v>
      </c>
      <c r="E20" s="37">
        <v>1</v>
      </c>
      <c r="F20" s="38">
        <v>6980</v>
      </c>
      <c r="G20" s="38">
        <v>6980</v>
      </c>
      <c r="H20" s="26" t="s">
        <v>398</v>
      </c>
    </row>
    <row r="21" spans="1:8" x14ac:dyDescent="0.25">
      <c r="A21" s="87"/>
      <c r="B21" s="89"/>
      <c r="C21" s="112" t="s">
        <v>382</v>
      </c>
      <c r="D21" s="26" t="s">
        <v>7</v>
      </c>
      <c r="E21" s="37">
        <v>1</v>
      </c>
      <c r="F21" s="38">
        <v>3255</v>
      </c>
      <c r="G21" s="38">
        <v>3255</v>
      </c>
      <c r="H21" s="26" t="s">
        <v>398</v>
      </c>
    </row>
    <row r="22" spans="1:8" x14ac:dyDescent="0.25">
      <c r="A22" s="87"/>
      <c r="B22" s="89"/>
      <c r="C22" s="112" t="s">
        <v>383</v>
      </c>
      <c r="D22" s="26" t="s">
        <v>7</v>
      </c>
      <c r="E22" s="37">
        <v>1</v>
      </c>
      <c r="F22" s="38">
        <v>3488</v>
      </c>
      <c r="G22" s="38">
        <v>3488</v>
      </c>
      <c r="H22" s="26" t="s">
        <v>398</v>
      </c>
    </row>
    <row r="23" spans="1:8" x14ac:dyDescent="0.25">
      <c r="A23" s="87"/>
      <c r="B23" s="89"/>
      <c r="C23" s="112" t="s">
        <v>385</v>
      </c>
      <c r="D23" s="26" t="s">
        <v>7</v>
      </c>
      <c r="E23" s="37">
        <v>1</v>
      </c>
      <c r="F23" s="38">
        <v>1683</v>
      </c>
      <c r="G23" s="38">
        <v>1683</v>
      </c>
      <c r="H23" s="26" t="s">
        <v>398</v>
      </c>
    </row>
    <row r="24" spans="1:8" x14ac:dyDescent="0.25">
      <c r="A24" s="87"/>
      <c r="B24" s="89"/>
      <c r="C24" s="112" t="s">
        <v>384</v>
      </c>
      <c r="D24" s="26" t="s">
        <v>7</v>
      </c>
      <c r="E24" s="37">
        <v>1</v>
      </c>
      <c r="F24" s="38">
        <v>284</v>
      </c>
      <c r="G24" s="38">
        <v>284</v>
      </c>
      <c r="H24" s="26" t="s">
        <v>398</v>
      </c>
    </row>
    <row r="25" spans="1:8" x14ac:dyDescent="0.25">
      <c r="A25" s="87"/>
      <c r="B25" s="89"/>
      <c r="C25" s="112" t="s">
        <v>386</v>
      </c>
      <c r="D25" s="26" t="s">
        <v>7</v>
      </c>
      <c r="E25" s="37">
        <v>1</v>
      </c>
      <c r="F25" s="38">
        <v>2578</v>
      </c>
      <c r="G25" s="38">
        <v>2578</v>
      </c>
      <c r="H25" s="26" t="s">
        <v>398</v>
      </c>
    </row>
    <row r="26" spans="1:8" x14ac:dyDescent="0.25">
      <c r="A26" s="87"/>
      <c r="B26" s="89"/>
      <c r="C26" s="112" t="s">
        <v>386</v>
      </c>
      <c r="D26" s="26" t="s">
        <v>7</v>
      </c>
      <c r="E26" s="37">
        <v>1</v>
      </c>
      <c r="F26" s="38">
        <v>4988</v>
      </c>
      <c r="G26" s="38">
        <v>4988</v>
      </c>
      <c r="H26" s="26" t="s">
        <v>398</v>
      </c>
    </row>
    <row r="27" spans="1:8" x14ac:dyDescent="0.25">
      <c r="A27" s="87"/>
      <c r="B27" s="89"/>
      <c r="C27" s="112" t="s">
        <v>387</v>
      </c>
      <c r="D27" s="26" t="s">
        <v>7</v>
      </c>
      <c r="E27" s="37">
        <v>1</v>
      </c>
      <c r="F27" s="38">
        <v>2078</v>
      </c>
      <c r="G27" s="38">
        <v>2078</v>
      </c>
      <c r="H27" s="26" t="s">
        <v>398</v>
      </c>
    </row>
    <row r="28" spans="1:8" x14ac:dyDescent="0.25">
      <c r="A28" s="87"/>
      <c r="B28" s="89"/>
      <c r="C28" s="112" t="s">
        <v>388</v>
      </c>
      <c r="D28" s="26" t="s">
        <v>7</v>
      </c>
      <c r="E28" s="37">
        <v>1</v>
      </c>
      <c r="F28" s="38">
        <v>3688</v>
      </c>
      <c r="G28" s="38">
        <v>3688</v>
      </c>
      <c r="H28" s="26" t="s">
        <v>398</v>
      </c>
    </row>
    <row r="29" spans="1:8" x14ac:dyDescent="0.25">
      <c r="A29" s="87"/>
      <c r="B29" s="89"/>
      <c r="C29" s="112" t="s">
        <v>389</v>
      </c>
      <c r="D29" s="26" t="s">
        <v>7</v>
      </c>
      <c r="E29" s="37">
        <v>1</v>
      </c>
      <c r="F29" s="38">
        <v>3898</v>
      </c>
      <c r="G29" s="38">
        <v>3898</v>
      </c>
      <c r="H29" s="26" t="s">
        <v>398</v>
      </c>
    </row>
    <row r="30" spans="1:8" x14ac:dyDescent="0.25">
      <c r="A30" s="87"/>
      <c r="B30" s="89"/>
      <c r="C30" s="112" t="s">
        <v>390</v>
      </c>
      <c r="D30" s="26" t="s">
        <v>7</v>
      </c>
      <c r="E30" s="37">
        <v>1</v>
      </c>
      <c r="F30" s="38">
        <v>388</v>
      </c>
      <c r="G30" s="38">
        <v>388</v>
      </c>
      <c r="H30" s="26" t="s">
        <v>398</v>
      </c>
    </row>
    <row r="31" spans="1:8" x14ac:dyDescent="0.25">
      <c r="A31" s="87"/>
      <c r="B31" s="89"/>
      <c r="C31" s="112" t="s">
        <v>391</v>
      </c>
      <c r="D31" s="26" t="s">
        <v>7</v>
      </c>
      <c r="E31" s="37">
        <v>12</v>
      </c>
      <c r="F31" s="38">
        <v>622</v>
      </c>
      <c r="G31" s="38">
        <v>7464</v>
      </c>
      <c r="H31" s="26" t="s">
        <v>398</v>
      </c>
    </row>
    <row r="32" spans="1:8" x14ac:dyDescent="0.25">
      <c r="A32" s="87"/>
      <c r="B32" s="89"/>
      <c r="C32" s="112" t="s">
        <v>392</v>
      </c>
      <c r="D32" s="26" t="s">
        <v>7</v>
      </c>
      <c r="E32" s="37">
        <v>1</v>
      </c>
      <c r="F32" s="38">
        <v>10980</v>
      </c>
      <c r="G32" s="38">
        <v>10980</v>
      </c>
      <c r="H32" s="26" t="s">
        <v>398</v>
      </c>
    </row>
    <row r="33" spans="1:8" x14ac:dyDescent="0.25">
      <c r="A33" s="87"/>
      <c r="B33" s="89"/>
      <c r="C33" s="112" t="s">
        <v>393</v>
      </c>
      <c r="D33" s="26" t="s">
        <v>7</v>
      </c>
      <c r="E33" s="37">
        <v>1</v>
      </c>
      <c r="F33" s="38">
        <v>160</v>
      </c>
      <c r="G33" s="38">
        <v>160</v>
      </c>
      <c r="H33" s="26" t="s">
        <v>398</v>
      </c>
    </row>
    <row r="34" spans="1:8" x14ac:dyDescent="0.25">
      <c r="A34" s="87"/>
      <c r="B34" s="89"/>
      <c r="C34" s="112" t="s">
        <v>394</v>
      </c>
      <c r="D34" s="26" t="s">
        <v>7</v>
      </c>
      <c r="E34" s="37">
        <v>20</v>
      </c>
      <c r="F34" s="38">
        <v>3798</v>
      </c>
      <c r="G34" s="38">
        <v>75960</v>
      </c>
      <c r="H34" s="26" t="s">
        <v>398</v>
      </c>
    </row>
    <row r="35" spans="1:8" x14ac:dyDescent="0.25">
      <c r="A35" s="87"/>
      <c r="B35" s="89"/>
      <c r="C35" s="112" t="s">
        <v>314</v>
      </c>
      <c r="D35" s="26" t="s">
        <v>7</v>
      </c>
      <c r="E35" s="37">
        <v>35</v>
      </c>
      <c r="F35" s="38">
        <v>392.94</v>
      </c>
      <c r="G35" s="38">
        <v>13752.9</v>
      </c>
      <c r="H35" s="26" t="s">
        <v>398</v>
      </c>
    </row>
    <row r="36" spans="1:8" x14ac:dyDescent="0.25">
      <c r="A36" s="87"/>
      <c r="B36" s="89"/>
      <c r="C36" s="112" t="s">
        <v>10</v>
      </c>
      <c r="D36" s="26" t="s">
        <v>7</v>
      </c>
      <c r="E36" s="37">
        <v>15</v>
      </c>
      <c r="F36" s="38">
        <v>150.06</v>
      </c>
      <c r="G36" s="38">
        <v>2250.9</v>
      </c>
      <c r="H36" s="26" t="s">
        <v>398</v>
      </c>
    </row>
    <row r="37" spans="1:8" x14ac:dyDescent="0.25">
      <c r="A37" s="87"/>
      <c r="B37" s="89"/>
      <c r="C37" s="112" t="s">
        <v>364</v>
      </c>
      <c r="D37" s="26" t="s">
        <v>7</v>
      </c>
      <c r="E37" s="37">
        <v>10</v>
      </c>
      <c r="F37" s="38">
        <v>106.62</v>
      </c>
      <c r="G37" s="38">
        <v>1066.2</v>
      </c>
      <c r="H37" s="26" t="s">
        <v>398</v>
      </c>
    </row>
    <row r="38" spans="1:8" x14ac:dyDescent="0.25">
      <c r="A38" s="87"/>
      <c r="B38" s="89"/>
      <c r="C38" s="112" t="s">
        <v>14</v>
      </c>
      <c r="D38" s="26" t="s">
        <v>13</v>
      </c>
      <c r="E38" s="37">
        <v>10</v>
      </c>
      <c r="F38" s="38">
        <v>308.16000000000003</v>
      </c>
      <c r="G38" s="38">
        <v>3081.6</v>
      </c>
      <c r="H38" s="26" t="s">
        <v>398</v>
      </c>
    </row>
    <row r="39" spans="1:8" x14ac:dyDescent="0.25">
      <c r="A39" s="87"/>
      <c r="B39" s="89"/>
      <c r="C39" s="112" t="s">
        <v>365</v>
      </c>
      <c r="D39" s="26" t="s">
        <v>15</v>
      </c>
      <c r="E39" s="37">
        <v>80</v>
      </c>
      <c r="F39" s="38">
        <v>25.08</v>
      </c>
      <c r="G39" s="38">
        <v>2006.4</v>
      </c>
      <c r="H39" s="26" t="s">
        <v>398</v>
      </c>
    </row>
    <row r="40" spans="1:8" x14ac:dyDescent="0.25">
      <c r="A40" s="87"/>
      <c r="B40" s="89"/>
      <c r="C40" s="112" t="s">
        <v>366</v>
      </c>
      <c r="D40" s="26" t="s">
        <v>13</v>
      </c>
      <c r="E40" s="37">
        <v>5</v>
      </c>
      <c r="F40" s="38">
        <v>236.04</v>
      </c>
      <c r="G40" s="38">
        <v>1180.2</v>
      </c>
      <c r="H40" s="26" t="s">
        <v>398</v>
      </c>
    </row>
    <row r="41" spans="1:8" x14ac:dyDescent="0.25">
      <c r="A41" s="87"/>
      <c r="B41" s="89"/>
      <c r="C41" s="112" t="s">
        <v>11</v>
      </c>
      <c r="D41" s="26" t="s">
        <v>7</v>
      </c>
      <c r="E41" s="37">
        <v>25</v>
      </c>
      <c r="F41" s="38">
        <v>122.22</v>
      </c>
      <c r="G41" s="38">
        <v>3055.5</v>
      </c>
      <c r="H41" s="26" t="s">
        <v>398</v>
      </c>
    </row>
    <row r="42" spans="1:8" x14ac:dyDescent="0.25">
      <c r="A42" s="87"/>
      <c r="B42" s="89"/>
      <c r="C42" s="112" t="s">
        <v>367</v>
      </c>
      <c r="D42" s="26" t="s">
        <v>7</v>
      </c>
      <c r="E42" s="37">
        <v>20</v>
      </c>
      <c r="F42" s="38">
        <v>82.74</v>
      </c>
      <c r="G42" s="38">
        <v>1654.8</v>
      </c>
      <c r="H42" s="26" t="s">
        <v>398</v>
      </c>
    </row>
    <row r="43" spans="1:8" x14ac:dyDescent="0.25">
      <c r="A43" s="87"/>
      <c r="B43" s="89"/>
      <c r="C43" s="112" t="s">
        <v>368</v>
      </c>
      <c r="D43" s="26" t="s">
        <v>13</v>
      </c>
      <c r="E43" s="37">
        <v>20</v>
      </c>
      <c r="F43" s="38">
        <v>26.82</v>
      </c>
      <c r="G43" s="38">
        <v>536.4</v>
      </c>
      <c r="H43" s="26" t="s">
        <v>398</v>
      </c>
    </row>
    <row r="44" spans="1:8" x14ac:dyDescent="0.25">
      <c r="A44" s="87"/>
      <c r="B44" s="89"/>
      <c r="C44" s="112" t="s">
        <v>369</v>
      </c>
      <c r="D44" s="26" t="s">
        <v>7</v>
      </c>
      <c r="E44" s="37">
        <v>16</v>
      </c>
      <c r="F44" s="38">
        <v>35.64</v>
      </c>
      <c r="G44" s="38">
        <v>570.24</v>
      </c>
      <c r="H44" s="26" t="s">
        <v>398</v>
      </c>
    </row>
    <row r="45" spans="1:8" x14ac:dyDescent="0.25">
      <c r="A45" s="87"/>
      <c r="B45" s="89"/>
      <c r="C45" s="112" t="s">
        <v>370</v>
      </c>
      <c r="D45" s="26" t="s">
        <v>7</v>
      </c>
      <c r="E45" s="37">
        <v>15</v>
      </c>
      <c r="F45" s="38">
        <v>160.74</v>
      </c>
      <c r="G45" s="38">
        <v>2411.1</v>
      </c>
      <c r="H45" s="26" t="s">
        <v>398</v>
      </c>
    </row>
    <row r="46" spans="1:8" x14ac:dyDescent="0.25">
      <c r="A46" s="87"/>
      <c r="B46" s="89"/>
      <c r="C46" s="112" t="s">
        <v>371</v>
      </c>
      <c r="D46" s="26" t="s">
        <v>7</v>
      </c>
      <c r="E46" s="37">
        <v>15</v>
      </c>
      <c r="F46" s="38">
        <v>96.36</v>
      </c>
      <c r="G46" s="38">
        <v>1445.4</v>
      </c>
      <c r="H46" s="26" t="s">
        <v>398</v>
      </c>
    </row>
    <row r="47" spans="1:8" x14ac:dyDescent="0.25">
      <c r="A47" s="87"/>
      <c r="B47" s="89"/>
      <c r="C47" s="112" t="s">
        <v>372</v>
      </c>
      <c r="D47" s="26" t="s">
        <v>13</v>
      </c>
      <c r="E47" s="37">
        <f>2+3+10+10+5+10</f>
        <v>40</v>
      </c>
      <c r="F47" s="38"/>
      <c r="G47" s="38">
        <f>4165.8+3483.3+5229.6+5918.4+1477.44+1156.96</f>
        <v>21431.499999999996</v>
      </c>
      <c r="H47" s="26" t="s">
        <v>398</v>
      </c>
    </row>
    <row r="48" spans="1:8" x14ac:dyDescent="0.25">
      <c r="A48" s="87"/>
      <c r="B48" s="89"/>
      <c r="C48" s="112" t="s">
        <v>373</v>
      </c>
      <c r="D48" s="26" t="s">
        <v>7</v>
      </c>
      <c r="E48" s="37">
        <v>10</v>
      </c>
      <c r="F48" s="38">
        <v>16.440000000000001</v>
      </c>
      <c r="G48" s="38">
        <v>164.4</v>
      </c>
      <c r="H48" s="26" t="s">
        <v>398</v>
      </c>
    </row>
    <row r="49" spans="1:8" x14ac:dyDescent="0.25">
      <c r="A49" s="87"/>
      <c r="B49" s="89"/>
      <c r="C49" s="112" t="s">
        <v>374</v>
      </c>
      <c r="D49" s="26" t="s">
        <v>13</v>
      </c>
      <c r="E49" s="37">
        <v>5</v>
      </c>
      <c r="F49" s="38">
        <v>31.38</v>
      </c>
      <c r="G49" s="38">
        <v>156.9</v>
      </c>
      <c r="H49" s="26" t="s">
        <v>398</v>
      </c>
    </row>
    <row r="50" spans="1:8" x14ac:dyDescent="0.25">
      <c r="A50" s="87"/>
      <c r="B50" s="89"/>
      <c r="C50" s="112" t="s">
        <v>375</v>
      </c>
      <c r="D50" s="26" t="s">
        <v>7</v>
      </c>
      <c r="E50" s="37">
        <v>20</v>
      </c>
      <c r="F50" s="38">
        <v>6.06</v>
      </c>
      <c r="G50" s="38">
        <v>121.2</v>
      </c>
      <c r="H50" s="26" t="s">
        <v>398</v>
      </c>
    </row>
    <row r="51" spans="1:8" x14ac:dyDescent="0.25">
      <c r="A51" s="87"/>
      <c r="B51" s="89"/>
      <c r="C51" s="112" t="s">
        <v>12</v>
      </c>
      <c r="D51" s="26" t="s">
        <v>13</v>
      </c>
      <c r="E51" s="37">
        <v>5</v>
      </c>
      <c r="F51" s="38">
        <v>48.48</v>
      </c>
      <c r="G51" s="38">
        <v>242.4</v>
      </c>
      <c r="H51" s="26" t="s">
        <v>398</v>
      </c>
    </row>
    <row r="52" spans="1:8" x14ac:dyDescent="0.25">
      <c r="A52" s="87"/>
      <c r="B52" s="89"/>
      <c r="C52" s="112" t="s">
        <v>395</v>
      </c>
      <c r="D52" s="26" t="s">
        <v>15</v>
      </c>
      <c r="E52" s="37">
        <v>10</v>
      </c>
      <c r="F52" s="38">
        <v>18.899999999999999</v>
      </c>
      <c r="G52" s="38">
        <v>189</v>
      </c>
      <c r="H52" s="26" t="s">
        <v>398</v>
      </c>
    </row>
    <row r="53" spans="1:8" x14ac:dyDescent="0.25">
      <c r="A53" s="87"/>
      <c r="B53" s="89"/>
      <c r="C53" s="112" t="s">
        <v>267</v>
      </c>
      <c r="D53" s="26" t="s">
        <v>7</v>
      </c>
      <c r="E53" s="37">
        <v>1</v>
      </c>
      <c r="F53" s="38">
        <v>1780</v>
      </c>
      <c r="G53" s="38">
        <v>1780</v>
      </c>
      <c r="H53" s="26" t="s">
        <v>398</v>
      </c>
    </row>
    <row r="54" spans="1:8" x14ac:dyDescent="0.25">
      <c r="A54" s="83"/>
      <c r="B54" s="90"/>
      <c r="C54" s="112" t="s">
        <v>396</v>
      </c>
      <c r="D54" s="26" t="s">
        <v>13</v>
      </c>
      <c r="E54" s="37">
        <v>1</v>
      </c>
      <c r="F54" s="38">
        <v>1006</v>
      </c>
      <c r="G54" s="38">
        <v>1006</v>
      </c>
      <c r="H54" s="26" t="s">
        <v>398</v>
      </c>
    </row>
    <row r="55" spans="1:8" ht="25.5" x14ac:dyDescent="0.25">
      <c r="A55" s="40"/>
      <c r="B55" s="98"/>
      <c r="C55" s="107" t="s">
        <v>9</v>
      </c>
      <c r="D55" s="40"/>
      <c r="E55" s="41"/>
      <c r="F55" s="42"/>
      <c r="G55" s="42">
        <f>SUM(G3:G54)</f>
        <v>543379.18000000017</v>
      </c>
      <c r="H55" s="42">
        <f>SUM(H3:H54)</f>
        <v>0</v>
      </c>
    </row>
    <row r="56" spans="1:8" ht="25.5" x14ac:dyDescent="0.25">
      <c r="A56" s="43">
        <v>2</v>
      </c>
      <c r="B56" s="91" t="s">
        <v>64</v>
      </c>
      <c r="C56" s="112" t="s">
        <v>399</v>
      </c>
      <c r="D56" s="26" t="s">
        <v>7</v>
      </c>
      <c r="E56" s="34">
        <v>1</v>
      </c>
      <c r="F56" s="35">
        <v>50998.33</v>
      </c>
      <c r="G56" s="35">
        <f>E56*F56</f>
        <v>50998.33</v>
      </c>
      <c r="H56" s="35" t="s">
        <v>397</v>
      </c>
    </row>
    <row r="57" spans="1:8" ht="25.5" x14ac:dyDescent="0.25">
      <c r="A57" s="40"/>
      <c r="B57" s="98"/>
      <c r="C57" s="107" t="s">
        <v>9</v>
      </c>
      <c r="D57" s="40"/>
      <c r="E57" s="41"/>
      <c r="F57" s="42"/>
      <c r="G57" s="42">
        <f>SUM(G56)</f>
        <v>50998.33</v>
      </c>
      <c r="H57" s="40"/>
    </row>
    <row r="58" spans="1:8" x14ac:dyDescent="0.25">
      <c r="A58" s="82">
        <v>3</v>
      </c>
      <c r="B58" s="88" t="s">
        <v>22</v>
      </c>
      <c r="C58" s="112" t="s">
        <v>400</v>
      </c>
      <c r="D58" s="26" t="s">
        <v>7</v>
      </c>
      <c r="E58" s="34">
        <v>1</v>
      </c>
      <c r="F58" s="35">
        <v>6808</v>
      </c>
      <c r="G58" s="35">
        <v>6808</v>
      </c>
      <c r="H58" s="35" t="s">
        <v>397</v>
      </c>
    </row>
    <row r="59" spans="1:8" x14ac:dyDescent="0.25">
      <c r="A59" s="87"/>
      <c r="B59" s="89"/>
      <c r="C59" s="112" t="s">
        <v>401</v>
      </c>
      <c r="D59" s="26" t="s">
        <v>7</v>
      </c>
      <c r="E59" s="34">
        <v>1</v>
      </c>
      <c r="F59" s="35">
        <v>9607.0499999999993</v>
      </c>
      <c r="G59" s="35">
        <v>9607.0499999999993</v>
      </c>
      <c r="H59" s="35" t="s">
        <v>397</v>
      </c>
    </row>
    <row r="60" spans="1:8" x14ac:dyDescent="0.25">
      <c r="A60" s="87"/>
      <c r="B60" s="89"/>
      <c r="C60" s="112" t="s">
        <v>315</v>
      </c>
      <c r="D60" s="26" t="s">
        <v>7</v>
      </c>
      <c r="E60" s="34">
        <v>2</v>
      </c>
      <c r="F60" s="35">
        <v>1850</v>
      </c>
      <c r="G60" s="35">
        <v>3700</v>
      </c>
      <c r="H60" s="35" t="s">
        <v>397</v>
      </c>
    </row>
    <row r="61" spans="1:8" x14ac:dyDescent="0.25">
      <c r="A61" s="87"/>
      <c r="B61" s="89"/>
      <c r="C61" s="111" t="s">
        <v>47</v>
      </c>
      <c r="D61" s="43" t="s">
        <v>7</v>
      </c>
      <c r="E61" s="37">
        <v>1</v>
      </c>
      <c r="F61" s="38">
        <v>2499.21</v>
      </c>
      <c r="G61" s="38">
        <v>2499.21</v>
      </c>
      <c r="H61" s="35" t="s">
        <v>397</v>
      </c>
    </row>
    <row r="62" spans="1:8" x14ac:dyDescent="0.25">
      <c r="A62" s="87"/>
      <c r="B62" s="89"/>
      <c r="C62" s="171" t="s">
        <v>316</v>
      </c>
      <c r="D62" s="43" t="s">
        <v>7</v>
      </c>
      <c r="E62" s="34">
        <v>3</v>
      </c>
      <c r="F62" s="35">
        <v>2860</v>
      </c>
      <c r="G62" s="35">
        <v>8580</v>
      </c>
      <c r="H62" s="35" t="s">
        <v>397</v>
      </c>
    </row>
    <row r="63" spans="1:8" x14ac:dyDescent="0.25">
      <c r="A63" s="87"/>
      <c r="B63" s="89"/>
      <c r="C63" s="171" t="s">
        <v>317</v>
      </c>
      <c r="D63" s="43" t="s">
        <v>7</v>
      </c>
      <c r="E63" s="34">
        <v>1</v>
      </c>
      <c r="F63" s="35">
        <v>348.35</v>
      </c>
      <c r="G63" s="35">
        <v>348.35</v>
      </c>
      <c r="H63" s="35" t="s">
        <v>397</v>
      </c>
    </row>
    <row r="64" spans="1:8" x14ac:dyDescent="0.25">
      <c r="A64" s="87"/>
      <c r="B64" s="89"/>
      <c r="C64" s="171" t="s">
        <v>350</v>
      </c>
      <c r="D64" s="43" t="s">
        <v>7</v>
      </c>
      <c r="E64" s="34">
        <v>1</v>
      </c>
      <c r="F64" s="35">
        <v>5416.65</v>
      </c>
      <c r="G64" s="35">
        <v>5416.65</v>
      </c>
      <c r="H64" s="35" t="s">
        <v>397</v>
      </c>
    </row>
    <row r="65" spans="1:8" x14ac:dyDescent="0.25">
      <c r="A65" s="87"/>
      <c r="B65" s="89"/>
      <c r="C65" s="171" t="s">
        <v>75</v>
      </c>
      <c r="D65" s="43" t="s">
        <v>7</v>
      </c>
      <c r="E65" s="34">
        <v>1</v>
      </c>
      <c r="F65" s="35">
        <v>1083.3499999999999</v>
      </c>
      <c r="G65" s="35">
        <v>1083.3499999999999</v>
      </c>
      <c r="H65" s="35" t="s">
        <v>397</v>
      </c>
    </row>
    <row r="66" spans="1:8" x14ac:dyDescent="0.25">
      <c r="A66" s="87"/>
      <c r="B66" s="89"/>
      <c r="C66" s="171" t="s">
        <v>114</v>
      </c>
      <c r="D66" s="43" t="s">
        <v>7</v>
      </c>
      <c r="E66" s="34">
        <v>1</v>
      </c>
      <c r="F66" s="35">
        <v>333.35</v>
      </c>
      <c r="G66" s="35">
        <v>333.35</v>
      </c>
      <c r="H66" s="35" t="s">
        <v>397</v>
      </c>
    </row>
    <row r="67" spans="1:8" x14ac:dyDescent="0.25">
      <c r="A67" s="87"/>
      <c r="B67" s="89"/>
      <c r="C67" s="171" t="s">
        <v>48</v>
      </c>
      <c r="D67" s="43" t="s">
        <v>7</v>
      </c>
      <c r="E67" s="34">
        <v>1</v>
      </c>
      <c r="F67" s="35">
        <v>1221.6500000000001</v>
      </c>
      <c r="G67" s="35">
        <v>1221.6500000000001</v>
      </c>
      <c r="H67" s="35" t="s">
        <v>397</v>
      </c>
    </row>
    <row r="68" spans="1:8" x14ac:dyDescent="0.25">
      <c r="A68" s="87"/>
      <c r="B68" s="89"/>
      <c r="C68" s="171" t="s">
        <v>150</v>
      </c>
      <c r="D68" s="43" t="s">
        <v>7</v>
      </c>
      <c r="E68" s="34">
        <v>5</v>
      </c>
      <c r="F68" s="35">
        <v>123</v>
      </c>
      <c r="G68" s="35">
        <v>615</v>
      </c>
      <c r="H68" s="35" t="s">
        <v>397</v>
      </c>
    </row>
    <row r="69" spans="1:8" x14ac:dyDescent="0.25">
      <c r="A69" s="87"/>
      <c r="B69" s="89"/>
      <c r="C69" s="171" t="s">
        <v>170</v>
      </c>
      <c r="D69" s="43" t="s">
        <v>7</v>
      </c>
      <c r="E69" s="34">
        <v>5</v>
      </c>
      <c r="F69" s="35">
        <v>420</v>
      </c>
      <c r="G69" s="35">
        <v>2100</v>
      </c>
      <c r="H69" s="35" t="s">
        <v>397</v>
      </c>
    </row>
    <row r="70" spans="1:8" x14ac:dyDescent="0.25">
      <c r="A70" s="87"/>
      <c r="B70" s="89"/>
      <c r="C70" s="171" t="s">
        <v>17</v>
      </c>
      <c r="D70" s="43" t="s">
        <v>7</v>
      </c>
      <c r="E70" s="34">
        <v>5</v>
      </c>
      <c r="F70" s="35">
        <v>195</v>
      </c>
      <c r="G70" s="35">
        <v>975</v>
      </c>
      <c r="H70" s="35" t="s">
        <v>397</v>
      </c>
    </row>
    <row r="71" spans="1:8" x14ac:dyDescent="0.25">
      <c r="A71" s="87"/>
      <c r="B71" s="89"/>
      <c r="C71" s="171" t="s">
        <v>318</v>
      </c>
      <c r="D71" s="43" t="s">
        <v>13</v>
      </c>
      <c r="E71" s="34">
        <v>28</v>
      </c>
      <c r="F71" s="35">
        <v>37.5</v>
      </c>
      <c r="G71" s="35">
        <v>1050</v>
      </c>
      <c r="H71" s="35" t="s">
        <v>397</v>
      </c>
    </row>
    <row r="72" spans="1:8" x14ac:dyDescent="0.25">
      <c r="A72" s="87"/>
      <c r="B72" s="89"/>
      <c r="C72" s="171" t="s">
        <v>319</v>
      </c>
      <c r="D72" s="43" t="s">
        <v>7</v>
      </c>
      <c r="E72" s="34">
        <v>7</v>
      </c>
      <c r="F72" s="35">
        <v>75</v>
      </c>
      <c r="G72" s="35">
        <v>525</v>
      </c>
      <c r="H72" s="35" t="s">
        <v>397</v>
      </c>
    </row>
    <row r="73" spans="1:8" x14ac:dyDescent="0.25">
      <c r="A73" s="87"/>
      <c r="B73" s="89"/>
      <c r="C73" s="112" t="s">
        <v>335</v>
      </c>
      <c r="D73" s="26" t="s">
        <v>7</v>
      </c>
      <c r="E73" s="34">
        <v>5</v>
      </c>
      <c r="F73" s="35">
        <v>11.4</v>
      </c>
      <c r="G73" s="35">
        <v>57</v>
      </c>
      <c r="H73" s="35" t="s">
        <v>397</v>
      </c>
    </row>
    <row r="74" spans="1:8" x14ac:dyDescent="0.25">
      <c r="A74" s="83"/>
      <c r="B74" s="90"/>
      <c r="C74" s="112" t="s">
        <v>283</v>
      </c>
      <c r="D74" s="26" t="s">
        <v>7</v>
      </c>
      <c r="E74" s="34">
        <v>6</v>
      </c>
      <c r="F74" s="35">
        <v>90</v>
      </c>
      <c r="G74" s="35">
        <v>540</v>
      </c>
      <c r="H74" s="35" t="s">
        <v>397</v>
      </c>
    </row>
    <row r="75" spans="1:8" ht="25.5" hidden="1" x14ac:dyDescent="0.25">
      <c r="A75" s="26">
        <v>8</v>
      </c>
      <c r="B75" s="99" t="s">
        <v>22</v>
      </c>
      <c r="C75" s="112"/>
      <c r="D75" s="26"/>
      <c r="E75" s="34"/>
      <c r="F75" s="35"/>
      <c r="G75" s="35"/>
      <c r="H75" s="35"/>
    </row>
    <row r="76" spans="1:8" ht="25.5" hidden="1" x14ac:dyDescent="0.25">
      <c r="A76" s="26">
        <v>9</v>
      </c>
      <c r="B76" s="99" t="s">
        <v>22</v>
      </c>
      <c r="C76" s="112"/>
      <c r="D76" s="26"/>
      <c r="E76" s="34"/>
      <c r="F76" s="35"/>
      <c r="G76" s="35"/>
      <c r="H76" s="35"/>
    </row>
    <row r="77" spans="1:8" ht="25.5" hidden="1" x14ac:dyDescent="0.25">
      <c r="A77" s="26">
        <v>10</v>
      </c>
      <c r="B77" s="99" t="s">
        <v>22</v>
      </c>
      <c r="C77" s="112"/>
      <c r="D77" s="26"/>
      <c r="E77" s="34"/>
      <c r="F77" s="35"/>
      <c r="G77" s="35"/>
      <c r="H77" s="35"/>
    </row>
    <row r="78" spans="1:8" ht="25.5" x14ac:dyDescent="0.25">
      <c r="A78" s="40"/>
      <c r="B78" s="98"/>
      <c r="C78" s="107" t="s">
        <v>9</v>
      </c>
      <c r="D78" s="40"/>
      <c r="E78" s="41"/>
      <c r="F78" s="42"/>
      <c r="G78" s="42">
        <f>SUM(G58:G77)</f>
        <v>45459.609999999993</v>
      </c>
      <c r="H78" s="42">
        <f>SUM(H58:H77)</f>
        <v>0</v>
      </c>
    </row>
    <row r="79" spans="1:8" x14ac:dyDescent="0.25">
      <c r="A79" s="82">
        <v>4</v>
      </c>
      <c r="B79" s="88" t="s">
        <v>88</v>
      </c>
      <c r="C79" s="112" t="s">
        <v>400</v>
      </c>
      <c r="D79" s="26" t="s">
        <v>7</v>
      </c>
      <c r="E79" s="34">
        <v>2</v>
      </c>
      <c r="F79" s="35">
        <v>6808</v>
      </c>
      <c r="G79" s="35">
        <v>13616</v>
      </c>
      <c r="H79" s="35" t="s">
        <v>397</v>
      </c>
    </row>
    <row r="80" spans="1:8" x14ac:dyDescent="0.25">
      <c r="A80" s="83"/>
      <c r="B80" s="90"/>
      <c r="C80" s="112" t="s">
        <v>399</v>
      </c>
      <c r="D80" s="26" t="s">
        <v>7</v>
      </c>
      <c r="E80" s="34">
        <v>1</v>
      </c>
      <c r="F80" s="35">
        <v>50998.33</v>
      </c>
      <c r="G80" s="35">
        <f>E80*F80</f>
        <v>50998.33</v>
      </c>
      <c r="H80" s="35" t="s">
        <v>397</v>
      </c>
    </row>
    <row r="81" spans="1:8" ht="25.5" x14ac:dyDescent="0.25">
      <c r="A81" s="40"/>
      <c r="B81" s="98"/>
      <c r="C81" s="107" t="s">
        <v>9</v>
      </c>
      <c r="D81" s="40"/>
      <c r="E81" s="41"/>
      <c r="F81" s="42"/>
      <c r="G81" s="42">
        <f>SUM(G79:G80)</f>
        <v>64614.33</v>
      </c>
      <c r="H81" s="40"/>
    </row>
    <row r="82" spans="1:8" ht="25.5" x14ac:dyDescent="0.25">
      <c r="A82" s="43">
        <v>5</v>
      </c>
      <c r="B82" s="91" t="s">
        <v>25</v>
      </c>
      <c r="C82" s="112" t="s">
        <v>399</v>
      </c>
      <c r="D82" s="26" t="s">
        <v>7</v>
      </c>
      <c r="E82" s="34">
        <v>1</v>
      </c>
      <c r="F82" s="35">
        <v>50998.33</v>
      </c>
      <c r="G82" s="35">
        <f>E82*F82</f>
        <v>50998.33</v>
      </c>
      <c r="H82" s="35" t="s">
        <v>397</v>
      </c>
    </row>
    <row r="83" spans="1:8" ht="25.5" x14ac:dyDescent="0.25">
      <c r="A83" s="40"/>
      <c r="B83" s="98"/>
      <c r="C83" s="107" t="s">
        <v>9</v>
      </c>
      <c r="D83" s="40"/>
      <c r="E83" s="41"/>
      <c r="F83" s="42"/>
      <c r="G83" s="42">
        <f>SUM(G82)</f>
        <v>50998.33</v>
      </c>
      <c r="H83" s="40"/>
    </row>
    <row r="84" spans="1:8" x14ac:dyDescent="0.25">
      <c r="A84" s="92">
        <v>6</v>
      </c>
      <c r="B84" s="95" t="s">
        <v>26</v>
      </c>
      <c r="C84" s="112" t="s">
        <v>400</v>
      </c>
      <c r="D84" s="26" t="s">
        <v>7</v>
      </c>
      <c r="E84" s="34">
        <v>1</v>
      </c>
      <c r="F84" s="35">
        <v>6808</v>
      </c>
      <c r="G84" s="35">
        <v>6808</v>
      </c>
      <c r="H84" s="35" t="s">
        <v>397</v>
      </c>
    </row>
    <row r="85" spans="1:8" x14ac:dyDescent="0.25">
      <c r="A85" s="93"/>
      <c r="B85" s="96"/>
      <c r="C85" s="112" t="s">
        <v>401</v>
      </c>
      <c r="D85" s="26" t="s">
        <v>7</v>
      </c>
      <c r="E85" s="34">
        <v>1</v>
      </c>
      <c r="F85" s="35">
        <v>9607.0499999999993</v>
      </c>
      <c r="G85" s="35">
        <v>9607.0499999999993</v>
      </c>
      <c r="H85" s="35" t="s">
        <v>397</v>
      </c>
    </row>
    <row r="86" spans="1:8" x14ac:dyDescent="0.25">
      <c r="A86" s="94"/>
      <c r="B86" s="97"/>
      <c r="C86" s="112" t="s">
        <v>399</v>
      </c>
      <c r="D86" s="26" t="s">
        <v>7</v>
      </c>
      <c r="E86" s="34">
        <v>1</v>
      </c>
      <c r="F86" s="35">
        <v>50998.33</v>
      </c>
      <c r="G86" s="35">
        <f>E86*F86</f>
        <v>50998.33</v>
      </c>
      <c r="H86" s="35" t="s">
        <v>397</v>
      </c>
    </row>
    <row r="87" spans="1:8" ht="25.5" x14ac:dyDescent="0.25">
      <c r="A87" s="40"/>
      <c r="B87" s="98"/>
      <c r="C87" s="107" t="s">
        <v>9</v>
      </c>
      <c r="D87" s="40"/>
      <c r="E87" s="41"/>
      <c r="F87" s="42"/>
      <c r="G87" s="42">
        <f>SUM(G84:G86)</f>
        <v>67413.38</v>
      </c>
      <c r="H87" s="40">
        <f>SUM(H84:H86)</f>
        <v>0</v>
      </c>
    </row>
    <row r="88" spans="1:8" x14ac:dyDescent="0.25">
      <c r="A88" s="92">
        <v>7</v>
      </c>
      <c r="B88" s="95" t="s">
        <v>45</v>
      </c>
      <c r="C88" s="112" t="s">
        <v>400</v>
      </c>
      <c r="D88" s="26" t="s">
        <v>7</v>
      </c>
      <c r="E88" s="34">
        <v>1</v>
      </c>
      <c r="F88" s="35">
        <v>6808</v>
      </c>
      <c r="G88" s="35">
        <v>6808</v>
      </c>
      <c r="H88" s="35" t="s">
        <v>397</v>
      </c>
    </row>
    <row r="89" spans="1:8" x14ac:dyDescent="0.25">
      <c r="A89" s="93"/>
      <c r="B89" s="96"/>
      <c r="C89" s="112" t="s">
        <v>315</v>
      </c>
      <c r="D89" s="26" t="s">
        <v>7</v>
      </c>
      <c r="E89" s="34">
        <v>1</v>
      </c>
      <c r="F89" s="35">
        <v>1850</v>
      </c>
      <c r="G89" s="35">
        <v>1850</v>
      </c>
      <c r="H89" s="35" t="s">
        <v>397</v>
      </c>
    </row>
    <row r="90" spans="1:8" x14ac:dyDescent="0.25">
      <c r="A90" s="93"/>
      <c r="B90" s="96"/>
      <c r="C90" s="111" t="s">
        <v>47</v>
      </c>
      <c r="D90" s="43" t="s">
        <v>7</v>
      </c>
      <c r="E90" s="37">
        <v>1</v>
      </c>
      <c r="F90" s="38">
        <v>2499.21</v>
      </c>
      <c r="G90" s="38">
        <v>2499.21</v>
      </c>
      <c r="H90" s="35" t="s">
        <v>397</v>
      </c>
    </row>
    <row r="91" spans="1:8" x14ac:dyDescent="0.25">
      <c r="A91" s="93"/>
      <c r="B91" s="96"/>
      <c r="C91" s="171" t="s">
        <v>316</v>
      </c>
      <c r="D91" s="43" t="s">
        <v>7</v>
      </c>
      <c r="E91" s="34">
        <v>3</v>
      </c>
      <c r="F91" s="35">
        <v>2860</v>
      </c>
      <c r="G91" s="35">
        <v>8580</v>
      </c>
      <c r="H91" s="35" t="s">
        <v>397</v>
      </c>
    </row>
    <row r="92" spans="1:8" x14ac:dyDescent="0.25">
      <c r="A92" s="93"/>
      <c r="B92" s="96"/>
      <c r="C92" s="171" t="s">
        <v>317</v>
      </c>
      <c r="D92" s="43" t="s">
        <v>7</v>
      </c>
      <c r="E92" s="34">
        <v>2</v>
      </c>
      <c r="F92" s="35">
        <v>348.35</v>
      </c>
      <c r="G92" s="35">
        <v>696.7</v>
      </c>
      <c r="H92" s="35" t="s">
        <v>397</v>
      </c>
    </row>
    <row r="93" spans="1:8" x14ac:dyDescent="0.25">
      <c r="A93" s="93"/>
      <c r="B93" s="96"/>
      <c r="C93" s="171" t="s">
        <v>75</v>
      </c>
      <c r="D93" s="43" t="s">
        <v>7</v>
      </c>
      <c r="E93" s="34">
        <v>2</v>
      </c>
      <c r="F93" s="35">
        <v>1083.3499999999999</v>
      </c>
      <c r="G93" s="35">
        <v>2166.6999999999998</v>
      </c>
      <c r="H93" s="35" t="s">
        <v>397</v>
      </c>
    </row>
    <row r="94" spans="1:8" x14ac:dyDescent="0.25">
      <c r="A94" s="93"/>
      <c r="B94" s="96"/>
      <c r="C94" s="171" t="s">
        <v>114</v>
      </c>
      <c r="D94" s="43" t="s">
        <v>7</v>
      </c>
      <c r="E94" s="34">
        <v>2</v>
      </c>
      <c r="F94" s="35">
        <v>333.35</v>
      </c>
      <c r="G94" s="35">
        <v>666.7</v>
      </c>
      <c r="H94" s="35" t="s">
        <v>397</v>
      </c>
    </row>
    <row r="95" spans="1:8" x14ac:dyDescent="0.25">
      <c r="A95" s="93"/>
      <c r="B95" s="96"/>
      <c r="C95" s="171" t="s">
        <v>48</v>
      </c>
      <c r="D95" s="43" t="s">
        <v>7</v>
      </c>
      <c r="E95" s="34">
        <v>2</v>
      </c>
      <c r="F95" s="35">
        <v>1221.6500000000001</v>
      </c>
      <c r="G95" s="35">
        <v>2443.3000000000002</v>
      </c>
      <c r="H95" s="35" t="s">
        <v>397</v>
      </c>
    </row>
    <row r="96" spans="1:8" x14ac:dyDescent="0.25">
      <c r="A96" s="93"/>
      <c r="B96" s="96"/>
      <c r="C96" s="171" t="s">
        <v>150</v>
      </c>
      <c r="D96" s="43" t="s">
        <v>7</v>
      </c>
      <c r="E96" s="34">
        <v>5</v>
      </c>
      <c r="F96" s="35">
        <v>123</v>
      </c>
      <c r="G96" s="35">
        <v>615</v>
      </c>
      <c r="H96" s="35" t="s">
        <v>397</v>
      </c>
    </row>
    <row r="97" spans="1:8" x14ac:dyDescent="0.25">
      <c r="A97" s="93"/>
      <c r="B97" s="96"/>
      <c r="C97" s="171" t="s">
        <v>170</v>
      </c>
      <c r="D97" s="43" t="s">
        <v>7</v>
      </c>
      <c r="E97" s="34">
        <v>5</v>
      </c>
      <c r="F97" s="35">
        <v>420</v>
      </c>
      <c r="G97" s="35">
        <v>2100</v>
      </c>
      <c r="H97" s="35" t="s">
        <v>397</v>
      </c>
    </row>
    <row r="98" spans="1:8" x14ac:dyDescent="0.25">
      <c r="A98" s="93"/>
      <c r="B98" s="96"/>
      <c r="C98" s="171" t="s">
        <v>17</v>
      </c>
      <c r="D98" s="43" t="s">
        <v>7</v>
      </c>
      <c r="E98" s="34">
        <v>5</v>
      </c>
      <c r="F98" s="35">
        <v>195</v>
      </c>
      <c r="G98" s="35">
        <v>975</v>
      </c>
      <c r="H98" s="35" t="s">
        <v>397</v>
      </c>
    </row>
    <row r="99" spans="1:8" x14ac:dyDescent="0.25">
      <c r="A99" s="93"/>
      <c r="B99" s="96"/>
      <c r="C99" s="171" t="s">
        <v>318</v>
      </c>
      <c r="D99" s="43" t="s">
        <v>13</v>
      </c>
      <c r="E99" s="34">
        <v>28</v>
      </c>
      <c r="F99" s="35">
        <v>37.5</v>
      </c>
      <c r="G99" s="35">
        <v>1050</v>
      </c>
      <c r="H99" s="35" t="s">
        <v>397</v>
      </c>
    </row>
    <row r="100" spans="1:8" x14ac:dyDescent="0.25">
      <c r="A100" s="94"/>
      <c r="B100" s="97"/>
      <c r="C100" s="171" t="s">
        <v>319</v>
      </c>
      <c r="D100" s="43" t="s">
        <v>7</v>
      </c>
      <c r="E100" s="34">
        <v>8</v>
      </c>
      <c r="F100" s="35">
        <v>75</v>
      </c>
      <c r="G100" s="35">
        <v>600</v>
      </c>
      <c r="H100" s="35" t="s">
        <v>397</v>
      </c>
    </row>
    <row r="101" spans="1:8" ht="25.5" x14ac:dyDescent="0.25">
      <c r="A101" s="40"/>
      <c r="B101" s="98"/>
      <c r="C101" s="107" t="s">
        <v>9</v>
      </c>
      <c r="D101" s="40"/>
      <c r="E101" s="41"/>
      <c r="F101" s="42"/>
      <c r="G101" s="42">
        <f>SUM(G88:G100)</f>
        <v>31050.61</v>
      </c>
      <c r="H101" s="40">
        <f>SUM(H88:H100)</f>
        <v>0</v>
      </c>
    </row>
    <row r="102" spans="1:8" x14ac:dyDescent="0.25">
      <c r="A102" s="82">
        <v>8</v>
      </c>
      <c r="B102" s="88" t="s">
        <v>27</v>
      </c>
      <c r="C102" s="112" t="s">
        <v>400</v>
      </c>
      <c r="D102" s="26" t="s">
        <v>7</v>
      </c>
      <c r="E102" s="34">
        <v>1</v>
      </c>
      <c r="F102" s="35">
        <v>6808</v>
      </c>
      <c r="G102" s="35">
        <v>6808</v>
      </c>
      <c r="H102" s="35" t="s">
        <v>397</v>
      </c>
    </row>
    <row r="103" spans="1:8" x14ac:dyDescent="0.25">
      <c r="A103" s="83"/>
      <c r="B103" s="90"/>
      <c r="C103" s="112" t="s">
        <v>401</v>
      </c>
      <c r="D103" s="26" t="s">
        <v>7</v>
      </c>
      <c r="E103" s="34">
        <v>1</v>
      </c>
      <c r="F103" s="35">
        <v>9607.0499999999993</v>
      </c>
      <c r="G103" s="35">
        <v>9607.0499999999993</v>
      </c>
      <c r="H103" s="35" t="s">
        <v>397</v>
      </c>
    </row>
    <row r="104" spans="1:8" ht="25.5" x14ac:dyDescent="0.25">
      <c r="A104" s="40"/>
      <c r="B104" s="98"/>
      <c r="C104" s="107" t="s">
        <v>9</v>
      </c>
      <c r="D104" s="40"/>
      <c r="E104" s="41"/>
      <c r="F104" s="42"/>
      <c r="G104" s="42">
        <f>SUM(G102:G103)</f>
        <v>16415.05</v>
      </c>
      <c r="H104" s="40">
        <f>SUM(H102:H103)</f>
        <v>0</v>
      </c>
    </row>
    <row r="105" spans="1:8" x14ac:dyDescent="0.25">
      <c r="A105" s="92">
        <v>9</v>
      </c>
      <c r="B105" s="95" t="s">
        <v>29</v>
      </c>
      <c r="C105" s="112" t="s">
        <v>399</v>
      </c>
      <c r="D105" s="26" t="s">
        <v>7</v>
      </c>
      <c r="E105" s="34">
        <v>1</v>
      </c>
      <c r="F105" s="35">
        <v>50998.33</v>
      </c>
      <c r="G105" s="35">
        <v>50998.33</v>
      </c>
      <c r="H105" s="35" t="s">
        <v>397</v>
      </c>
    </row>
    <row r="106" spans="1:8" x14ac:dyDescent="0.25">
      <c r="A106" s="93"/>
      <c r="B106" s="96"/>
      <c r="C106" s="112" t="s">
        <v>400</v>
      </c>
      <c r="D106" s="26" t="s">
        <v>7</v>
      </c>
      <c r="E106" s="34">
        <v>1</v>
      </c>
      <c r="F106" s="35">
        <v>6808</v>
      </c>
      <c r="G106" s="35">
        <v>6808</v>
      </c>
      <c r="H106" s="35" t="s">
        <v>397</v>
      </c>
    </row>
    <row r="107" spans="1:8" x14ac:dyDescent="0.25">
      <c r="A107" s="94"/>
      <c r="B107" s="97"/>
      <c r="C107" s="112" t="s">
        <v>401</v>
      </c>
      <c r="D107" s="26" t="s">
        <v>7</v>
      </c>
      <c r="E107" s="34">
        <v>1</v>
      </c>
      <c r="F107" s="35">
        <v>9607.0499999999993</v>
      </c>
      <c r="G107" s="35">
        <v>9607.0499999999993</v>
      </c>
      <c r="H107" s="35" t="s">
        <v>397</v>
      </c>
    </row>
    <row r="108" spans="1:8" ht="25.5" x14ac:dyDescent="0.25">
      <c r="A108" s="40"/>
      <c r="B108" s="98"/>
      <c r="C108" s="107" t="s">
        <v>9</v>
      </c>
      <c r="D108" s="40"/>
      <c r="E108" s="41"/>
      <c r="F108" s="42"/>
      <c r="G108" s="42">
        <f>SUM(G105:G107)</f>
        <v>67413.38</v>
      </c>
      <c r="H108" s="40"/>
    </row>
    <row r="109" spans="1:8" x14ac:dyDescent="0.25">
      <c r="A109" s="92">
        <v>10</v>
      </c>
      <c r="B109" s="95" t="s">
        <v>32</v>
      </c>
      <c r="C109" s="112" t="s">
        <v>399</v>
      </c>
      <c r="D109" s="26" t="s">
        <v>7</v>
      </c>
      <c r="E109" s="34">
        <v>1</v>
      </c>
      <c r="F109" s="35">
        <v>50998.33</v>
      </c>
      <c r="G109" s="35">
        <f>E109*F109</f>
        <v>50998.33</v>
      </c>
      <c r="H109" s="35" t="s">
        <v>397</v>
      </c>
    </row>
    <row r="110" spans="1:8" x14ac:dyDescent="0.25">
      <c r="A110" s="93"/>
      <c r="B110" s="96"/>
      <c r="C110" s="112" t="s">
        <v>400</v>
      </c>
      <c r="D110" s="26" t="s">
        <v>7</v>
      </c>
      <c r="E110" s="34">
        <v>1</v>
      </c>
      <c r="F110" s="35">
        <v>6808</v>
      </c>
      <c r="G110" s="35">
        <v>6808</v>
      </c>
      <c r="H110" s="35" t="s">
        <v>397</v>
      </c>
    </row>
    <row r="111" spans="1:8" x14ac:dyDescent="0.25">
      <c r="A111" s="94"/>
      <c r="B111" s="97"/>
      <c r="C111" s="112" t="s">
        <v>401</v>
      </c>
      <c r="D111" s="26" t="s">
        <v>7</v>
      </c>
      <c r="E111" s="34">
        <v>1</v>
      </c>
      <c r="F111" s="35">
        <v>9607.0499999999993</v>
      </c>
      <c r="G111" s="35">
        <v>9607.0499999999993</v>
      </c>
      <c r="H111" s="35" t="s">
        <v>397</v>
      </c>
    </row>
    <row r="112" spans="1:8" ht="25.5" x14ac:dyDescent="0.25">
      <c r="A112" s="40"/>
      <c r="B112" s="98"/>
      <c r="C112" s="107" t="s">
        <v>9</v>
      </c>
      <c r="D112" s="40"/>
      <c r="E112" s="41"/>
      <c r="F112" s="42"/>
      <c r="G112" s="42">
        <f>SUM(G109:G111)</f>
        <v>67413.38</v>
      </c>
      <c r="H112" s="40"/>
    </row>
    <row r="113" spans="1:8" x14ac:dyDescent="0.25">
      <c r="A113" s="92">
        <v>11</v>
      </c>
      <c r="B113" s="95" t="s">
        <v>69</v>
      </c>
      <c r="C113" s="112" t="s">
        <v>399</v>
      </c>
      <c r="D113" s="26" t="s">
        <v>7</v>
      </c>
      <c r="E113" s="34">
        <v>1</v>
      </c>
      <c r="F113" s="35">
        <v>50998.33</v>
      </c>
      <c r="G113" s="35">
        <v>50998.33</v>
      </c>
      <c r="H113" s="35" t="s">
        <v>397</v>
      </c>
    </row>
    <row r="114" spans="1:8" x14ac:dyDescent="0.25">
      <c r="A114" s="93"/>
      <c r="B114" s="96"/>
      <c r="C114" s="112" t="s">
        <v>400</v>
      </c>
      <c r="D114" s="26" t="s">
        <v>7</v>
      </c>
      <c r="E114" s="34">
        <v>1</v>
      </c>
      <c r="F114" s="35">
        <v>6808</v>
      </c>
      <c r="G114" s="35">
        <v>6808</v>
      </c>
      <c r="H114" s="35" t="s">
        <v>397</v>
      </c>
    </row>
    <row r="115" spans="1:8" x14ac:dyDescent="0.25">
      <c r="A115" s="94"/>
      <c r="B115" s="97"/>
      <c r="C115" s="112" t="s">
        <v>401</v>
      </c>
      <c r="D115" s="26" t="s">
        <v>7</v>
      </c>
      <c r="E115" s="34">
        <v>2</v>
      </c>
      <c r="F115" s="35">
        <v>9607.0499999999993</v>
      </c>
      <c r="G115" s="35">
        <v>19214.099999999999</v>
      </c>
      <c r="H115" s="35" t="s">
        <v>397</v>
      </c>
    </row>
    <row r="116" spans="1:8" ht="25.5" x14ac:dyDescent="0.25">
      <c r="A116" s="40"/>
      <c r="B116" s="98"/>
      <c r="C116" s="107" t="s">
        <v>9</v>
      </c>
      <c r="D116" s="40"/>
      <c r="E116" s="41"/>
      <c r="F116" s="42"/>
      <c r="G116" s="42">
        <f>SUM(G113:G115)</f>
        <v>77020.429999999993</v>
      </c>
      <c r="H116" s="40"/>
    </row>
    <row r="117" spans="1:8" ht="25.5" x14ac:dyDescent="0.25">
      <c r="A117" s="26">
        <v>12</v>
      </c>
      <c r="B117" s="99" t="s">
        <v>91</v>
      </c>
      <c r="C117" s="112" t="s">
        <v>355</v>
      </c>
      <c r="D117" s="26" t="s">
        <v>76</v>
      </c>
      <c r="E117" s="34">
        <v>56.7</v>
      </c>
      <c r="F117" s="35">
        <v>1.5</v>
      </c>
      <c r="G117" s="35">
        <v>85.05</v>
      </c>
      <c r="H117" s="26" t="s">
        <v>398</v>
      </c>
    </row>
    <row r="118" spans="1:8" ht="25.5" x14ac:dyDescent="0.25">
      <c r="A118" s="40"/>
      <c r="B118" s="98"/>
      <c r="C118" s="107" t="s">
        <v>9</v>
      </c>
      <c r="D118" s="40"/>
      <c r="E118" s="41"/>
      <c r="F118" s="42"/>
      <c r="G118" s="42">
        <f>SUM(G117:G117)</f>
        <v>85.05</v>
      </c>
      <c r="H118" s="40">
        <f>SUM(H117:H117)</f>
        <v>0</v>
      </c>
    </row>
    <row r="119" spans="1:8" x14ac:dyDescent="0.25">
      <c r="A119" s="92">
        <v>13</v>
      </c>
      <c r="B119" s="95" t="s">
        <v>35</v>
      </c>
      <c r="C119" s="112" t="s">
        <v>399</v>
      </c>
      <c r="D119" s="26" t="s">
        <v>7</v>
      </c>
      <c r="E119" s="34">
        <v>1</v>
      </c>
      <c r="F119" s="35">
        <v>50998.33</v>
      </c>
      <c r="G119" s="35">
        <v>50998.33</v>
      </c>
      <c r="H119" s="35" t="s">
        <v>397</v>
      </c>
    </row>
    <row r="120" spans="1:8" x14ac:dyDescent="0.25">
      <c r="A120" s="93"/>
      <c r="B120" s="96"/>
      <c r="C120" s="112" t="s">
        <v>400</v>
      </c>
      <c r="D120" s="26" t="s">
        <v>7</v>
      </c>
      <c r="E120" s="34">
        <v>2</v>
      </c>
      <c r="F120" s="35">
        <v>6808</v>
      </c>
      <c r="G120" s="35">
        <v>13616</v>
      </c>
      <c r="H120" s="35" t="s">
        <v>397</v>
      </c>
    </row>
    <row r="121" spans="1:8" x14ac:dyDescent="0.25">
      <c r="A121" s="94"/>
      <c r="B121" s="97"/>
      <c r="C121" s="112" t="s">
        <v>401</v>
      </c>
      <c r="D121" s="26" t="s">
        <v>7</v>
      </c>
      <c r="E121" s="34">
        <v>2</v>
      </c>
      <c r="F121" s="35">
        <v>9607.0499999999993</v>
      </c>
      <c r="G121" s="35">
        <v>19214.099999999999</v>
      </c>
      <c r="H121" s="35" t="s">
        <v>397</v>
      </c>
    </row>
    <row r="122" spans="1:8" ht="25.5" x14ac:dyDescent="0.25">
      <c r="A122" s="40"/>
      <c r="B122" s="98"/>
      <c r="C122" s="107" t="s">
        <v>9</v>
      </c>
      <c r="D122" s="40"/>
      <c r="E122" s="41"/>
      <c r="F122" s="42"/>
      <c r="G122" s="42">
        <f>SUM(G119:G121)</f>
        <v>83828.429999999993</v>
      </c>
      <c r="H122" s="40"/>
    </row>
    <row r="123" spans="1:8" x14ac:dyDescent="0.25">
      <c r="A123" s="82">
        <v>14</v>
      </c>
      <c r="B123" s="88" t="s">
        <v>72</v>
      </c>
      <c r="C123" s="112" t="s">
        <v>400</v>
      </c>
      <c r="D123" s="26" t="s">
        <v>7</v>
      </c>
      <c r="E123" s="34">
        <v>2</v>
      </c>
      <c r="F123" s="35">
        <v>6808</v>
      </c>
      <c r="G123" s="35">
        <v>13616</v>
      </c>
      <c r="H123" s="35" t="s">
        <v>397</v>
      </c>
    </row>
    <row r="124" spans="1:8" x14ac:dyDescent="0.25">
      <c r="A124" s="87"/>
      <c r="B124" s="89"/>
      <c r="C124" s="112" t="s">
        <v>401</v>
      </c>
      <c r="D124" s="26" t="s">
        <v>7</v>
      </c>
      <c r="E124" s="34">
        <v>1</v>
      </c>
      <c r="F124" s="35">
        <v>9607.0499999999993</v>
      </c>
      <c r="G124" s="35">
        <v>9607.0499999999993</v>
      </c>
      <c r="H124" s="35" t="s">
        <v>397</v>
      </c>
    </row>
    <row r="125" spans="1:8" x14ac:dyDescent="0.25">
      <c r="A125" s="87"/>
      <c r="B125" s="89"/>
      <c r="C125" s="112" t="s">
        <v>335</v>
      </c>
      <c r="D125" s="26" t="s">
        <v>7</v>
      </c>
      <c r="E125" s="34">
        <v>5</v>
      </c>
      <c r="F125" s="35">
        <v>20</v>
      </c>
      <c r="G125" s="35">
        <v>100</v>
      </c>
      <c r="H125" s="35" t="s">
        <v>397</v>
      </c>
    </row>
    <row r="126" spans="1:8" x14ac:dyDescent="0.25">
      <c r="A126" s="83"/>
      <c r="B126" s="90"/>
      <c r="C126" s="112" t="s">
        <v>283</v>
      </c>
      <c r="D126" s="26" t="s">
        <v>7</v>
      </c>
      <c r="E126" s="34">
        <v>6</v>
      </c>
      <c r="F126" s="35">
        <v>25</v>
      </c>
      <c r="G126" s="35">
        <v>150</v>
      </c>
      <c r="H126" s="35" t="s">
        <v>397</v>
      </c>
    </row>
    <row r="127" spans="1:8" ht="25.5" x14ac:dyDescent="0.25">
      <c r="A127" s="40"/>
      <c r="B127" s="98"/>
      <c r="C127" s="107" t="s">
        <v>9</v>
      </c>
      <c r="D127" s="40"/>
      <c r="E127" s="41"/>
      <c r="F127" s="42"/>
      <c r="G127" s="42">
        <f>SUM(G123:G126)</f>
        <v>23473.05</v>
      </c>
      <c r="H127" s="40">
        <f>SUM(H123:H126)</f>
        <v>0</v>
      </c>
    </row>
    <row r="128" spans="1:8" ht="25.5" x14ac:dyDescent="0.25">
      <c r="A128" s="43">
        <v>15</v>
      </c>
      <c r="B128" s="91" t="s">
        <v>37</v>
      </c>
      <c r="C128" s="112" t="s">
        <v>401</v>
      </c>
      <c r="D128" s="26" t="s">
        <v>7</v>
      </c>
      <c r="E128" s="34">
        <v>1</v>
      </c>
      <c r="F128" s="35">
        <v>9607.0499999999993</v>
      </c>
      <c r="G128" s="35">
        <v>9607.0499999999993</v>
      </c>
      <c r="H128" s="35" t="s">
        <v>397</v>
      </c>
    </row>
    <row r="129" spans="1:8" ht="25.5" x14ac:dyDescent="0.25">
      <c r="A129" s="40"/>
      <c r="B129" s="98"/>
      <c r="C129" s="107" t="s">
        <v>9</v>
      </c>
      <c r="D129" s="40"/>
      <c r="E129" s="41"/>
      <c r="F129" s="42"/>
      <c r="G129" s="42">
        <f>SUM(G128:G128)</f>
        <v>9607.0499999999993</v>
      </c>
      <c r="H129" s="40">
        <f>SUM(H128:H128)</f>
        <v>0</v>
      </c>
    </row>
    <row r="130" spans="1:8" x14ac:dyDescent="0.25">
      <c r="A130" s="82">
        <v>16</v>
      </c>
      <c r="B130" s="88" t="s">
        <v>61</v>
      </c>
      <c r="C130" s="112" t="s">
        <v>354</v>
      </c>
      <c r="D130" s="26" t="s">
        <v>7</v>
      </c>
      <c r="E130" s="158">
        <v>1</v>
      </c>
      <c r="F130" s="161">
        <v>79120</v>
      </c>
      <c r="G130" s="161">
        <v>79120</v>
      </c>
      <c r="H130" s="35" t="s">
        <v>397</v>
      </c>
    </row>
    <row r="131" spans="1:8" x14ac:dyDescent="0.25">
      <c r="A131" s="87"/>
      <c r="B131" s="89"/>
      <c r="C131" s="112" t="s">
        <v>136</v>
      </c>
      <c r="D131" s="26" t="s">
        <v>7</v>
      </c>
      <c r="E131" s="158">
        <v>3</v>
      </c>
      <c r="F131" s="161">
        <v>11160.69</v>
      </c>
      <c r="G131" s="161">
        <v>33482.07</v>
      </c>
      <c r="H131" s="35" t="s">
        <v>398</v>
      </c>
    </row>
    <row r="132" spans="1:8" x14ac:dyDescent="0.25">
      <c r="A132" s="87"/>
      <c r="B132" s="89"/>
      <c r="C132" s="112" t="s">
        <v>360</v>
      </c>
      <c r="D132" s="26" t="s">
        <v>7</v>
      </c>
      <c r="E132" s="158">
        <v>2</v>
      </c>
      <c r="F132" s="161">
        <v>1000</v>
      </c>
      <c r="G132" s="161">
        <v>2000</v>
      </c>
      <c r="H132" s="35" t="s">
        <v>398</v>
      </c>
    </row>
    <row r="133" spans="1:8" x14ac:dyDescent="0.25">
      <c r="A133" s="87"/>
      <c r="B133" s="89"/>
      <c r="C133" s="112" t="s">
        <v>66</v>
      </c>
      <c r="D133" s="26" t="s">
        <v>7</v>
      </c>
      <c r="E133" s="158">
        <v>1</v>
      </c>
      <c r="F133" s="161">
        <v>20300</v>
      </c>
      <c r="G133" s="161">
        <v>20300</v>
      </c>
      <c r="H133" s="35" t="s">
        <v>398</v>
      </c>
    </row>
    <row r="134" spans="1:8" x14ac:dyDescent="0.25">
      <c r="A134" s="87"/>
      <c r="B134" s="89"/>
      <c r="C134" s="112" t="s">
        <v>49</v>
      </c>
      <c r="D134" s="26" t="s">
        <v>7</v>
      </c>
      <c r="E134" s="158">
        <v>1</v>
      </c>
      <c r="F134" s="161">
        <v>850</v>
      </c>
      <c r="G134" s="161">
        <v>850</v>
      </c>
      <c r="H134" s="35" t="s">
        <v>398</v>
      </c>
    </row>
    <row r="135" spans="1:8" x14ac:dyDescent="0.25">
      <c r="A135" s="87"/>
      <c r="B135" s="89"/>
      <c r="C135" s="112" t="s">
        <v>362</v>
      </c>
      <c r="D135" s="26" t="s">
        <v>7</v>
      </c>
      <c r="E135" s="158">
        <v>1</v>
      </c>
      <c r="F135" s="161">
        <v>3586.56</v>
      </c>
      <c r="G135" s="161">
        <v>3586.56</v>
      </c>
      <c r="H135" s="35" t="s">
        <v>398</v>
      </c>
    </row>
    <row r="136" spans="1:8" x14ac:dyDescent="0.25">
      <c r="A136" s="87"/>
      <c r="B136" s="89"/>
      <c r="C136" s="112" t="s">
        <v>363</v>
      </c>
      <c r="D136" s="26" t="s">
        <v>7</v>
      </c>
      <c r="E136" s="158">
        <v>2</v>
      </c>
      <c r="F136" s="161">
        <v>4973.57</v>
      </c>
      <c r="G136" s="161">
        <v>9947.14</v>
      </c>
      <c r="H136" s="35" t="s">
        <v>398</v>
      </c>
    </row>
    <row r="137" spans="1:8" x14ac:dyDescent="0.25">
      <c r="A137" s="87"/>
      <c r="B137" s="89"/>
      <c r="C137" s="112" t="s">
        <v>47</v>
      </c>
      <c r="D137" s="26" t="s">
        <v>7</v>
      </c>
      <c r="E137" s="158">
        <v>3</v>
      </c>
      <c r="F137" s="161">
        <v>3201.54</v>
      </c>
      <c r="G137" s="161">
        <v>9604.6200000000008</v>
      </c>
      <c r="H137" s="35" t="s">
        <v>398</v>
      </c>
    </row>
    <row r="138" spans="1:8" x14ac:dyDescent="0.25">
      <c r="A138" s="87"/>
      <c r="B138" s="89"/>
      <c r="C138" s="112" t="s">
        <v>377</v>
      </c>
      <c r="D138" s="26" t="s">
        <v>7</v>
      </c>
      <c r="E138" s="158">
        <v>6</v>
      </c>
      <c r="F138" s="161">
        <v>412.19</v>
      </c>
      <c r="G138" s="161">
        <v>2473.14</v>
      </c>
      <c r="H138" s="35" t="s">
        <v>398</v>
      </c>
    </row>
    <row r="139" spans="1:8" x14ac:dyDescent="0.25">
      <c r="A139" s="87"/>
      <c r="B139" s="89"/>
      <c r="C139" s="112" t="s">
        <v>378</v>
      </c>
      <c r="D139" s="26" t="s">
        <v>7</v>
      </c>
      <c r="E139" s="158">
        <v>5</v>
      </c>
      <c r="F139" s="161">
        <v>567.37</v>
      </c>
      <c r="G139" s="161">
        <v>2836.85</v>
      </c>
      <c r="H139" s="35" t="s">
        <v>398</v>
      </c>
    </row>
    <row r="140" spans="1:8" x14ac:dyDescent="0.25">
      <c r="A140" s="87"/>
      <c r="B140" s="89"/>
      <c r="C140" s="112" t="s">
        <v>50</v>
      </c>
      <c r="D140" s="26" t="s">
        <v>7</v>
      </c>
      <c r="E140" s="158">
        <v>5</v>
      </c>
      <c r="F140" s="161">
        <v>1443.88</v>
      </c>
      <c r="G140" s="161">
        <v>7219.4</v>
      </c>
      <c r="H140" s="35" t="s">
        <v>398</v>
      </c>
    </row>
    <row r="141" spans="1:8" x14ac:dyDescent="0.25">
      <c r="A141" s="87"/>
      <c r="B141" s="89"/>
      <c r="C141" s="112" t="s">
        <v>402</v>
      </c>
      <c r="D141" s="26" t="s">
        <v>7</v>
      </c>
      <c r="E141" s="158">
        <v>9</v>
      </c>
      <c r="F141" s="161">
        <v>3033.73</v>
      </c>
      <c r="G141" s="161">
        <v>27303.57</v>
      </c>
      <c r="H141" s="35" t="s">
        <v>398</v>
      </c>
    </row>
    <row r="142" spans="1:8" x14ac:dyDescent="0.25">
      <c r="A142" s="87"/>
      <c r="B142" s="89"/>
      <c r="C142" s="112" t="s">
        <v>380</v>
      </c>
      <c r="D142" s="26" t="s">
        <v>7</v>
      </c>
      <c r="E142" s="158">
        <v>1</v>
      </c>
      <c r="F142" s="161">
        <v>185.9</v>
      </c>
      <c r="G142" s="161">
        <v>185.9</v>
      </c>
      <c r="H142" s="35" t="s">
        <v>398</v>
      </c>
    </row>
    <row r="143" spans="1:8" x14ac:dyDescent="0.25">
      <c r="A143" s="87"/>
      <c r="B143" s="89"/>
      <c r="C143" s="112" t="s">
        <v>381</v>
      </c>
      <c r="D143" s="26" t="s">
        <v>7</v>
      </c>
      <c r="E143" s="158">
        <v>1</v>
      </c>
      <c r="F143" s="161">
        <v>6980</v>
      </c>
      <c r="G143" s="161">
        <v>6980</v>
      </c>
      <c r="H143" s="35" t="s">
        <v>398</v>
      </c>
    </row>
    <row r="144" spans="1:8" x14ac:dyDescent="0.25">
      <c r="A144" s="87"/>
      <c r="B144" s="89"/>
      <c r="C144" s="112" t="s">
        <v>382</v>
      </c>
      <c r="D144" s="26" t="s">
        <v>7</v>
      </c>
      <c r="E144" s="158">
        <v>1</v>
      </c>
      <c r="F144" s="161">
        <v>3255</v>
      </c>
      <c r="G144" s="161">
        <v>3255</v>
      </c>
      <c r="H144" s="35" t="s">
        <v>398</v>
      </c>
    </row>
    <row r="145" spans="1:8" x14ac:dyDescent="0.25">
      <c r="A145" s="87"/>
      <c r="B145" s="89"/>
      <c r="C145" s="112" t="s">
        <v>383</v>
      </c>
      <c r="D145" s="26" t="s">
        <v>7</v>
      </c>
      <c r="E145" s="158">
        <v>1</v>
      </c>
      <c r="F145" s="161">
        <v>3488</v>
      </c>
      <c r="G145" s="161">
        <v>3488</v>
      </c>
      <c r="H145" s="35" t="s">
        <v>398</v>
      </c>
    </row>
    <row r="146" spans="1:8" x14ac:dyDescent="0.25">
      <c r="A146" s="87"/>
      <c r="B146" s="89"/>
      <c r="C146" s="112" t="s">
        <v>385</v>
      </c>
      <c r="D146" s="26" t="s">
        <v>7</v>
      </c>
      <c r="E146" s="158">
        <v>1</v>
      </c>
      <c r="F146" s="161">
        <v>1683</v>
      </c>
      <c r="G146" s="161">
        <v>1683</v>
      </c>
      <c r="H146" s="35" t="s">
        <v>398</v>
      </c>
    </row>
    <row r="147" spans="1:8" x14ac:dyDescent="0.25">
      <c r="A147" s="87"/>
      <c r="B147" s="89"/>
      <c r="C147" s="112" t="s">
        <v>403</v>
      </c>
      <c r="D147" s="26" t="s">
        <v>7</v>
      </c>
      <c r="E147" s="158">
        <v>1</v>
      </c>
      <c r="F147" s="161">
        <v>284</v>
      </c>
      <c r="G147" s="161">
        <v>284</v>
      </c>
      <c r="H147" s="35" t="s">
        <v>398</v>
      </c>
    </row>
    <row r="148" spans="1:8" x14ac:dyDescent="0.25">
      <c r="A148" s="87"/>
      <c r="B148" s="89"/>
      <c r="C148" s="112" t="s">
        <v>386</v>
      </c>
      <c r="D148" s="26" t="s">
        <v>7</v>
      </c>
      <c r="E148" s="158">
        <v>1</v>
      </c>
      <c r="F148" s="161">
        <v>2578</v>
      </c>
      <c r="G148" s="161">
        <v>2578</v>
      </c>
      <c r="H148" s="35" t="s">
        <v>398</v>
      </c>
    </row>
    <row r="149" spans="1:8" x14ac:dyDescent="0.25">
      <c r="A149" s="87"/>
      <c r="B149" s="89"/>
      <c r="C149" s="112" t="s">
        <v>386</v>
      </c>
      <c r="D149" s="26" t="s">
        <v>7</v>
      </c>
      <c r="E149" s="158">
        <v>1</v>
      </c>
      <c r="F149" s="161">
        <v>4988</v>
      </c>
      <c r="G149" s="161">
        <v>4988</v>
      </c>
      <c r="H149" s="35" t="s">
        <v>398</v>
      </c>
    </row>
    <row r="150" spans="1:8" x14ac:dyDescent="0.25">
      <c r="A150" s="87"/>
      <c r="B150" s="89"/>
      <c r="C150" s="112" t="s">
        <v>387</v>
      </c>
      <c r="D150" s="26" t="s">
        <v>7</v>
      </c>
      <c r="E150" s="158">
        <v>1</v>
      </c>
      <c r="F150" s="161">
        <v>2078</v>
      </c>
      <c r="G150" s="161">
        <v>2078</v>
      </c>
      <c r="H150" s="35" t="s">
        <v>398</v>
      </c>
    </row>
    <row r="151" spans="1:8" x14ac:dyDescent="0.25">
      <c r="A151" s="87"/>
      <c r="B151" s="89"/>
      <c r="C151" s="112" t="s">
        <v>388</v>
      </c>
      <c r="D151" s="26" t="s">
        <v>7</v>
      </c>
      <c r="E151" s="158">
        <v>1</v>
      </c>
      <c r="F151" s="161">
        <v>3688</v>
      </c>
      <c r="G151" s="161">
        <v>3688</v>
      </c>
      <c r="H151" s="35" t="s">
        <v>398</v>
      </c>
    </row>
    <row r="152" spans="1:8" x14ac:dyDescent="0.25">
      <c r="A152" s="87"/>
      <c r="B152" s="89"/>
      <c r="C152" s="112" t="s">
        <v>389</v>
      </c>
      <c r="D152" s="26" t="s">
        <v>7</v>
      </c>
      <c r="E152" s="158">
        <v>1</v>
      </c>
      <c r="F152" s="161">
        <v>3898</v>
      </c>
      <c r="G152" s="161">
        <v>3898</v>
      </c>
      <c r="H152" s="35" t="s">
        <v>398</v>
      </c>
    </row>
    <row r="153" spans="1:8" x14ac:dyDescent="0.25">
      <c r="A153" s="87"/>
      <c r="B153" s="89"/>
      <c r="C153" s="112" t="s">
        <v>390</v>
      </c>
      <c r="D153" s="26" t="s">
        <v>7</v>
      </c>
      <c r="E153" s="158">
        <v>1</v>
      </c>
      <c r="F153" s="161">
        <v>388</v>
      </c>
      <c r="G153" s="161">
        <v>388</v>
      </c>
      <c r="H153" s="35" t="s">
        <v>398</v>
      </c>
    </row>
    <row r="154" spans="1:8" x14ac:dyDescent="0.25">
      <c r="A154" s="87"/>
      <c r="B154" s="89"/>
      <c r="C154" s="112" t="s">
        <v>391</v>
      </c>
      <c r="D154" s="26" t="s">
        <v>7</v>
      </c>
      <c r="E154" s="158">
        <v>12</v>
      </c>
      <c r="F154" s="161">
        <v>622</v>
      </c>
      <c r="G154" s="161">
        <v>7464</v>
      </c>
      <c r="H154" s="35" t="s">
        <v>398</v>
      </c>
    </row>
    <row r="155" spans="1:8" x14ac:dyDescent="0.25">
      <c r="A155" s="87"/>
      <c r="B155" s="89"/>
      <c r="C155" s="112" t="s">
        <v>392</v>
      </c>
      <c r="D155" s="26" t="s">
        <v>7</v>
      </c>
      <c r="E155" s="158">
        <v>1</v>
      </c>
      <c r="F155" s="161">
        <v>10980</v>
      </c>
      <c r="G155" s="161">
        <v>10980</v>
      </c>
      <c r="H155" s="35" t="s">
        <v>398</v>
      </c>
    </row>
    <row r="156" spans="1:8" x14ac:dyDescent="0.25">
      <c r="A156" s="87"/>
      <c r="B156" s="89"/>
      <c r="C156" s="112" t="s">
        <v>393</v>
      </c>
      <c r="D156" s="26" t="s">
        <v>7</v>
      </c>
      <c r="E156" s="158">
        <v>1</v>
      </c>
      <c r="F156" s="161">
        <v>160</v>
      </c>
      <c r="G156" s="161">
        <v>160</v>
      </c>
      <c r="H156" s="35" t="s">
        <v>398</v>
      </c>
    </row>
    <row r="157" spans="1:8" x14ac:dyDescent="0.25">
      <c r="A157" s="87"/>
      <c r="B157" s="89"/>
      <c r="C157" s="112" t="s">
        <v>394</v>
      </c>
      <c r="D157" s="26" t="s">
        <v>7</v>
      </c>
      <c r="E157" s="158">
        <v>10</v>
      </c>
      <c r="F157" s="161">
        <v>3798</v>
      </c>
      <c r="G157" s="161">
        <v>37980</v>
      </c>
      <c r="H157" s="35" t="s">
        <v>398</v>
      </c>
    </row>
    <row r="158" spans="1:8" x14ac:dyDescent="0.25">
      <c r="A158" s="87"/>
      <c r="B158" s="89"/>
      <c r="C158" s="112" t="s">
        <v>404</v>
      </c>
      <c r="D158" s="26" t="s">
        <v>7</v>
      </c>
      <c r="E158" s="158">
        <v>4</v>
      </c>
      <c r="F158" s="161">
        <v>8573.44</v>
      </c>
      <c r="G158" s="161">
        <v>34293.760000000002</v>
      </c>
      <c r="H158" s="35" t="s">
        <v>398</v>
      </c>
    </row>
    <row r="159" spans="1:8" x14ac:dyDescent="0.25">
      <c r="A159" s="87"/>
      <c r="B159" s="89"/>
      <c r="C159" s="112" t="s">
        <v>396</v>
      </c>
      <c r="D159" s="26" t="s">
        <v>7</v>
      </c>
      <c r="E159" s="158">
        <v>1</v>
      </c>
      <c r="F159" s="161">
        <v>1006</v>
      </c>
      <c r="G159" s="161">
        <v>1006</v>
      </c>
      <c r="H159" s="35" t="s">
        <v>398</v>
      </c>
    </row>
    <row r="160" spans="1:8" x14ac:dyDescent="0.25">
      <c r="A160" s="87"/>
      <c r="B160" s="89"/>
      <c r="C160" s="112" t="s">
        <v>267</v>
      </c>
      <c r="D160" s="26" t="s">
        <v>7</v>
      </c>
      <c r="E160" s="158">
        <v>1</v>
      </c>
      <c r="F160" s="161">
        <v>1780</v>
      </c>
      <c r="G160" s="161">
        <v>1780</v>
      </c>
      <c r="H160" s="35" t="s">
        <v>398</v>
      </c>
    </row>
    <row r="161" spans="1:8" x14ac:dyDescent="0.25">
      <c r="A161" s="87"/>
      <c r="B161" s="89"/>
      <c r="C161" s="112" t="s">
        <v>395</v>
      </c>
      <c r="D161" s="26" t="s">
        <v>7</v>
      </c>
      <c r="E161" s="158">
        <v>10</v>
      </c>
      <c r="F161" s="161">
        <v>18.899999999999999</v>
      </c>
      <c r="G161" s="161">
        <v>189</v>
      </c>
      <c r="H161" s="35" t="s">
        <v>398</v>
      </c>
    </row>
    <row r="162" spans="1:8" x14ac:dyDescent="0.25">
      <c r="A162" s="87"/>
      <c r="B162" s="89"/>
      <c r="C162" s="112" t="s">
        <v>12</v>
      </c>
      <c r="D162" s="26" t="s">
        <v>7</v>
      </c>
      <c r="E162" s="158">
        <v>5</v>
      </c>
      <c r="F162" s="161">
        <v>48.48</v>
      </c>
      <c r="G162" s="161">
        <v>242.4</v>
      </c>
      <c r="H162" s="35" t="s">
        <v>398</v>
      </c>
    </row>
    <row r="163" spans="1:8" x14ac:dyDescent="0.25">
      <c r="A163" s="87"/>
      <c r="B163" s="89"/>
      <c r="C163" s="112" t="s">
        <v>375</v>
      </c>
      <c r="D163" s="26" t="s">
        <v>7</v>
      </c>
      <c r="E163" s="158">
        <v>20</v>
      </c>
      <c r="F163" s="161">
        <v>6.06</v>
      </c>
      <c r="G163" s="161">
        <v>121.2</v>
      </c>
      <c r="H163" s="35" t="s">
        <v>398</v>
      </c>
    </row>
    <row r="164" spans="1:8" x14ac:dyDescent="0.25">
      <c r="A164" s="87"/>
      <c r="B164" s="89"/>
      <c r="C164" s="112" t="s">
        <v>374</v>
      </c>
      <c r="D164" s="26" t="s">
        <v>7</v>
      </c>
      <c r="E164" s="158">
        <v>5</v>
      </c>
      <c r="F164" s="161">
        <v>31.38</v>
      </c>
      <c r="G164" s="161">
        <v>156.9</v>
      </c>
      <c r="H164" s="35" t="s">
        <v>398</v>
      </c>
    </row>
    <row r="165" spans="1:8" x14ac:dyDescent="0.25">
      <c r="A165" s="87"/>
      <c r="B165" s="89"/>
      <c r="C165" s="112" t="s">
        <v>373</v>
      </c>
      <c r="D165" s="26" t="s">
        <v>7</v>
      </c>
      <c r="E165" s="158">
        <v>10</v>
      </c>
      <c r="F165" s="161">
        <v>16.440000000000001</v>
      </c>
      <c r="G165" s="161">
        <v>164.4</v>
      </c>
      <c r="H165" s="35" t="s">
        <v>398</v>
      </c>
    </row>
    <row r="166" spans="1:8" x14ac:dyDescent="0.25">
      <c r="A166" s="87"/>
      <c r="B166" s="89"/>
      <c r="C166" s="112" t="s">
        <v>372</v>
      </c>
      <c r="D166" s="26" t="s">
        <v>7</v>
      </c>
      <c r="E166" s="158">
        <v>41</v>
      </c>
      <c r="F166" s="161"/>
      <c r="G166" s="161">
        <f>1735.44+1477.44+5918.4+5229.6+3483.3+4165.8</f>
        <v>22009.98</v>
      </c>
      <c r="H166" s="35" t="s">
        <v>398</v>
      </c>
    </row>
    <row r="167" spans="1:8" x14ac:dyDescent="0.25">
      <c r="A167" s="87"/>
      <c r="B167" s="89"/>
      <c r="C167" s="112" t="s">
        <v>371</v>
      </c>
      <c r="D167" s="26" t="s">
        <v>7</v>
      </c>
      <c r="E167" s="158">
        <v>15</v>
      </c>
      <c r="F167" s="161">
        <v>96.36</v>
      </c>
      <c r="G167" s="161">
        <v>1445.4</v>
      </c>
      <c r="H167" s="35" t="s">
        <v>398</v>
      </c>
    </row>
    <row r="168" spans="1:8" x14ac:dyDescent="0.25">
      <c r="A168" s="87"/>
      <c r="B168" s="89"/>
      <c r="C168" s="112" t="s">
        <v>405</v>
      </c>
      <c r="D168" s="26" t="s">
        <v>7</v>
      </c>
      <c r="E168" s="158">
        <v>15</v>
      </c>
      <c r="F168" s="161">
        <v>160.74</v>
      </c>
      <c r="G168" s="161">
        <v>2411.1</v>
      </c>
      <c r="H168" s="35" t="s">
        <v>398</v>
      </c>
    </row>
    <row r="169" spans="1:8" x14ac:dyDescent="0.25">
      <c r="A169" s="87"/>
      <c r="B169" s="89"/>
      <c r="C169" s="112" t="s">
        <v>406</v>
      </c>
      <c r="D169" s="26" t="s">
        <v>7</v>
      </c>
      <c r="E169" s="158">
        <v>16</v>
      </c>
      <c r="F169" s="161">
        <v>35.64</v>
      </c>
      <c r="G169" s="161">
        <v>570.24</v>
      </c>
      <c r="H169" s="35" t="s">
        <v>398</v>
      </c>
    </row>
    <row r="170" spans="1:8" x14ac:dyDescent="0.25">
      <c r="A170" s="87"/>
      <c r="B170" s="89"/>
      <c r="C170" s="112" t="s">
        <v>368</v>
      </c>
      <c r="D170" s="26" t="s">
        <v>7</v>
      </c>
      <c r="E170" s="158">
        <v>20</v>
      </c>
      <c r="F170" s="161">
        <v>26.82</v>
      </c>
      <c r="G170" s="161">
        <v>536.4</v>
      </c>
      <c r="H170" s="35" t="s">
        <v>398</v>
      </c>
    </row>
    <row r="171" spans="1:8" x14ac:dyDescent="0.25">
      <c r="A171" s="87"/>
      <c r="B171" s="89"/>
      <c r="C171" s="112" t="s">
        <v>367</v>
      </c>
      <c r="D171" s="26" t="s">
        <v>7</v>
      </c>
      <c r="E171" s="158">
        <v>20</v>
      </c>
      <c r="F171" s="161">
        <v>82.74</v>
      </c>
      <c r="G171" s="161">
        <v>1654.8</v>
      </c>
      <c r="H171" s="35" t="s">
        <v>398</v>
      </c>
    </row>
    <row r="172" spans="1:8" x14ac:dyDescent="0.25">
      <c r="A172" s="87"/>
      <c r="B172" s="89"/>
      <c r="C172" s="112" t="s">
        <v>407</v>
      </c>
      <c r="D172" s="26" t="s">
        <v>7</v>
      </c>
      <c r="E172" s="158">
        <v>25</v>
      </c>
      <c r="F172" s="161">
        <v>122.22</v>
      </c>
      <c r="G172" s="161">
        <v>3055.5</v>
      </c>
      <c r="H172" s="35" t="s">
        <v>398</v>
      </c>
    </row>
    <row r="173" spans="1:8" x14ac:dyDescent="0.25">
      <c r="A173" s="87"/>
      <c r="B173" s="89"/>
      <c r="C173" s="112" t="s">
        <v>408</v>
      </c>
      <c r="D173" s="26" t="s">
        <v>7</v>
      </c>
      <c r="E173" s="158">
        <v>5</v>
      </c>
      <c r="F173" s="161">
        <v>236.04</v>
      </c>
      <c r="G173" s="161">
        <v>1180.2</v>
      </c>
      <c r="H173" s="35" t="s">
        <v>398</v>
      </c>
    </row>
    <row r="174" spans="1:8" x14ac:dyDescent="0.25">
      <c r="A174" s="87"/>
      <c r="B174" s="89"/>
      <c r="C174" s="112" t="s">
        <v>313</v>
      </c>
      <c r="D174" s="26" t="s">
        <v>7</v>
      </c>
      <c r="E174" s="158">
        <v>80</v>
      </c>
      <c r="F174" s="161">
        <v>25.08</v>
      </c>
      <c r="G174" s="161">
        <v>2006.4</v>
      </c>
      <c r="H174" s="35" t="s">
        <v>398</v>
      </c>
    </row>
    <row r="175" spans="1:8" x14ac:dyDescent="0.25">
      <c r="A175" s="87"/>
      <c r="B175" s="89"/>
      <c r="C175" s="112" t="s">
        <v>14</v>
      </c>
      <c r="D175" s="26" t="s">
        <v>7</v>
      </c>
      <c r="E175" s="158">
        <v>10</v>
      </c>
      <c r="F175" s="161">
        <v>308.16000000000003</v>
      </c>
      <c r="G175" s="161">
        <v>3081.6</v>
      </c>
      <c r="H175" s="35" t="s">
        <v>398</v>
      </c>
    </row>
    <row r="176" spans="1:8" x14ac:dyDescent="0.25">
      <c r="A176" s="87"/>
      <c r="B176" s="89"/>
      <c r="C176" s="112" t="s">
        <v>364</v>
      </c>
      <c r="D176" s="26" t="s">
        <v>7</v>
      </c>
      <c r="E176" s="158">
        <v>10</v>
      </c>
      <c r="F176" s="161">
        <v>106.62</v>
      </c>
      <c r="G176" s="161">
        <v>1066.2</v>
      </c>
      <c r="H176" s="35" t="s">
        <v>398</v>
      </c>
    </row>
    <row r="177" spans="1:8" x14ac:dyDescent="0.25">
      <c r="A177" s="87"/>
      <c r="B177" s="89"/>
      <c r="C177" s="112" t="s">
        <v>10</v>
      </c>
      <c r="D177" s="26" t="s">
        <v>7</v>
      </c>
      <c r="E177" s="158">
        <v>15</v>
      </c>
      <c r="F177" s="161">
        <v>150.06</v>
      </c>
      <c r="G177" s="161">
        <v>2250.9</v>
      </c>
      <c r="H177" s="35" t="s">
        <v>398</v>
      </c>
    </row>
    <row r="178" spans="1:8" x14ac:dyDescent="0.25">
      <c r="A178" s="87"/>
      <c r="B178" s="89"/>
      <c r="C178" s="112" t="s">
        <v>314</v>
      </c>
      <c r="D178" s="26" t="s">
        <v>7</v>
      </c>
      <c r="E178" s="158">
        <v>35</v>
      </c>
      <c r="F178" s="161">
        <v>392.94</v>
      </c>
      <c r="G178" s="161">
        <v>13752.9</v>
      </c>
      <c r="H178" s="35" t="s">
        <v>398</v>
      </c>
    </row>
    <row r="179" spans="1:8" x14ac:dyDescent="0.25">
      <c r="A179" s="83"/>
      <c r="B179" s="90"/>
      <c r="C179" s="112" t="s">
        <v>355</v>
      </c>
      <c r="D179" s="26" t="s">
        <v>7</v>
      </c>
      <c r="E179" s="158">
        <v>5</v>
      </c>
      <c r="F179" s="161">
        <v>1.5</v>
      </c>
      <c r="G179" s="161">
        <v>525</v>
      </c>
      <c r="H179" s="26" t="s">
        <v>398</v>
      </c>
    </row>
    <row r="180" spans="1:8" ht="25.5" x14ac:dyDescent="0.25">
      <c r="A180" s="40"/>
      <c r="B180" s="98"/>
      <c r="C180" s="107" t="s">
        <v>9</v>
      </c>
      <c r="D180" s="40"/>
      <c r="E180" s="41"/>
      <c r="F180" s="42"/>
      <c r="G180" s="42">
        <f>SUM(G130:G179)</f>
        <v>382301.53000000014</v>
      </c>
      <c r="H180" s="40">
        <f>SUM(H130:H179)</f>
        <v>0</v>
      </c>
    </row>
    <row r="181" spans="1:8" ht="25.5" x14ac:dyDescent="0.25">
      <c r="A181" s="43">
        <v>17</v>
      </c>
      <c r="B181" s="91" t="s">
        <v>44</v>
      </c>
      <c r="C181" s="112" t="s">
        <v>399</v>
      </c>
      <c r="D181" s="26" t="s">
        <v>7</v>
      </c>
      <c r="E181" s="34">
        <v>1</v>
      </c>
      <c r="F181" s="35">
        <v>50998.33</v>
      </c>
      <c r="G181" s="35">
        <v>50998.33</v>
      </c>
      <c r="H181" s="35" t="s">
        <v>397</v>
      </c>
    </row>
    <row r="182" spans="1:8" ht="25.5" x14ac:dyDescent="0.25">
      <c r="A182" s="40"/>
      <c r="B182" s="98"/>
      <c r="C182" s="107" t="s">
        <v>9</v>
      </c>
      <c r="D182" s="40"/>
      <c r="E182" s="41"/>
      <c r="F182" s="42"/>
      <c r="G182" s="42">
        <f>SUM(G181:G181)</f>
        <v>50998.33</v>
      </c>
      <c r="H182" s="40"/>
    </row>
    <row r="183" spans="1:8" x14ac:dyDescent="0.25">
      <c r="A183" s="100">
        <v>18</v>
      </c>
      <c r="B183" s="95" t="s">
        <v>141</v>
      </c>
      <c r="C183" s="112" t="s">
        <v>399</v>
      </c>
      <c r="D183" s="26" t="s">
        <v>7</v>
      </c>
      <c r="E183" s="34">
        <v>1</v>
      </c>
      <c r="F183" s="35">
        <v>50998.33</v>
      </c>
      <c r="G183" s="35">
        <v>50998.33</v>
      </c>
      <c r="H183" s="35" t="s">
        <v>397</v>
      </c>
    </row>
    <row r="184" spans="1:8" s="44" customFormat="1" x14ac:dyDescent="0.25">
      <c r="A184" s="101"/>
      <c r="B184" s="97"/>
      <c r="C184" s="112" t="s">
        <v>401</v>
      </c>
      <c r="D184" s="26" t="s">
        <v>7</v>
      </c>
      <c r="E184" s="34">
        <v>1</v>
      </c>
      <c r="F184" s="35">
        <v>9607.0499999999993</v>
      </c>
      <c r="G184" s="35">
        <v>9607.0499999999993</v>
      </c>
      <c r="H184" s="35" t="s">
        <v>397</v>
      </c>
    </row>
    <row r="185" spans="1:8" ht="25.5" x14ac:dyDescent="0.25">
      <c r="A185" s="40"/>
      <c r="B185" s="98"/>
      <c r="C185" s="107" t="s">
        <v>9</v>
      </c>
      <c r="D185" s="40"/>
      <c r="E185" s="41"/>
      <c r="F185" s="42"/>
      <c r="G185" s="42">
        <f>SUM(G183:G184)</f>
        <v>60605.380000000005</v>
      </c>
      <c r="H185" s="40"/>
    </row>
    <row r="186" spans="1:8" ht="25.5" x14ac:dyDescent="0.25">
      <c r="A186" s="26">
        <v>19</v>
      </c>
      <c r="B186" s="99" t="s">
        <v>92</v>
      </c>
      <c r="C186" s="112"/>
      <c r="D186" s="26"/>
      <c r="E186" s="34"/>
      <c r="F186" s="35"/>
      <c r="G186" s="38"/>
      <c r="H186" s="26"/>
    </row>
    <row r="187" spans="1:8" ht="25.5" x14ac:dyDescent="0.25">
      <c r="A187" s="40"/>
      <c r="B187" s="98"/>
      <c r="C187" s="107" t="s">
        <v>9</v>
      </c>
      <c r="D187" s="40"/>
      <c r="E187" s="41"/>
      <c r="F187" s="42"/>
      <c r="G187" s="42">
        <f>SUM(G186:G186)</f>
        <v>0</v>
      </c>
      <c r="H187" s="40">
        <f>SUM(H186:H186)</f>
        <v>0</v>
      </c>
    </row>
    <row r="188" spans="1:8" x14ac:dyDescent="0.25">
      <c r="A188" s="92">
        <v>20</v>
      </c>
      <c r="B188" s="95" t="s">
        <v>41</v>
      </c>
      <c r="C188" s="112" t="s">
        <v>400</v>
      </c>
      <c r="D188" s="26" t="s">
        <v>7</v>
      </c>
      <c r="E188" s="34">
        <v>1</v>
      </c>
      <c r="F188" s="35">
        <v>6808</v>
      </c>
      <c r="G188" s="35">
        <v>6808</v>
      </c>
      <c r="H188" s="35" t="s">
        <v>397</v>
      </c>
    </row>
    <row r="189" spans="1:8" x14ac:dyDescent="0.25">
      <c r="A189" s="93"/>
      <c r="B189" s="96"/>
      <c r="C189" s="112" t="s">
        <v>401</v>
      </c>
      <c r="D189" s="26" t="s">
        <v>7</v>
      </c>
      <c r="E189" s="34">
        <v>2</v>
      </c>
      <c r="F189" s="35">
        <v>9607.0499999999993</v>
      </c>
      <c r="G189" s="35">
        <v>19214.099999999999</v>
      </c>
      <c r="H189" s="35" t="s">
        <v>397</v>
      </c>
    </row>
    <row r="190" spans="1:8" x14ac:dyDescent="0.25">
      <c r="A190" s="93"/>
      <c r="B190" s="96"/>
      <c r="C190" s="112" t="s">
        <v>287</v>
      </c>
      <c r="D190" s="26" t="s">
        <v>7</v>
      </c>
      <c r="E190" s="34">
        <v>3</v>
      </c>
      <c r="F190" s="35">
        <v>40</v>
      </c>
      <c r="G190" s="35">
        <v>120</v>
      </c>
      <c r="H190" s="35" t="s">
        <v>397</v>
      </c>
    </row>
    <row r="191" spans="1:8" x14ac:dyDescent="0.25">
      <c r="A191" s="93"/>
      <c r="B191" s="96"/>
      <c r="C191" s="112" t="s">
        <v>119</v>
      </c>
      <c r="D191" s="26" t="s">
        <v>7</v>
      </c>
      <c r="E191" s="34">
        <v>3</v>
      </c>
      <c r="F191" s="35">
        <v>200</v>
      </c>
      <c r="G191" s="35">
        <v>600</v>
      </c>
      <c r="H191" s="35" t="s">
        <v>397</v>
      </c>
    </row>
    <row r="192" spans="1:8" x14ac:dyDescent="0.25">
      <c r="A192" s="93"/>
      <c r="B192" s="96"/>
      <c r="C192" s="112" t="s">
        <v>89</v>
      </c>
      <c r="D192" s="26" t="s">
        <v>7</v>
      </c>
      <c r="E192" s="34">
        <v>5</v>
      </c>
      <c r="F192" s="35">
        <v>10</v>
      </c>
      <c r="G192" s="35">
        <v>50</v>
      </c>
      <c r="H192" s="35" t="s">
        <v>397</v>
      </c>
    </row>
    <row r="193" spans="1:8" x14ac:dyDescent="0.25">
      <c r="A193" s="93"/>
      <c r="B193" s="96"/>
      <c r="C193" s="112" t="s">
        <v>409</v>
      </c>
      <c r="D193" s="26" t="s">
        <v>13</v>
      </c>
      <c r="E193" s="34">
        <f>3+6+1</f>
        <v>10</v>
      </c>
      <c r="F193" s="35"/>
      <c r="G193" s="35">
        <f>750+1560+270</f>
        <v>2580</v>
      </c>
      <c r="H193" s="35" t="s">
        <v>397</v>
      </c>
    </row>
    <row r="194" spans="1:8" x14ac:dyDescent="0.25">
      <c r="A194" s="93"/>
      <c r="B194" s="96"/>
      <c r="C194" s="112" t="s">
        <v>94</v>
      </c>
      <c r="D194" s="26" t="s">
        <v>13</v>
      </c>
      <c r="E194" s="34">
        <v>26</v>
      </c>
      <c r="F194" s="35">
        <v>12</v>
      </c>
      <c r="G194" s="35">
        <v>312</v>
      </c>
      <c r="H194" s="35" t="s">
        <v>397</v>
      </c>
    </row>
    <row r="195" spans="1:8" x14ac:dyDescent="0.25">
      <c r="A195" s="93"/>
      <c r="B195" s="96"/>
      <c r="C195" s="112" t="s">
        <v>34</v>
      </c>
      <c r="D195" s="26" t="s">
        <v>7</v>
      </c>
      <c r="E195" s="34">
        <v>9</v>
      </c>
      <c r="F195" s="35">
        <v>15</v>
      </c>
      <c r="G195" s="35">
        <v>135</v>
      </c>
      <c r="H195" s="35" t="s">
        <v>397</v>
      </c>
    </row>
    <row r="196" spans="1:8" x14ac:dyDescent="0.25">
      <c r="A196" s="93"/>
      <c r="B196" s="96"/>
      <c r="C196" s="112" t="s">
        <v>335</v>
      </c>
      <c r="D196" s="26" t="s">
        <v>7</v>
      </c>
      <c r="E196" s="34">
        <v>22</v>
      </c>
      <c r="F196" s="35">
        <v>9</v>
      </c>
      <c r="G196" s="35">
        <v>198</v>
      </c>
      <c r="H196" s="35" t="s">
        <v>397</v>
      </c>
    </row>
    <row r="197" spans="1:8" x14ac:dyDescent="0.25">
      <c r="A197" s="93"/>
      <c r="B197" s="96"/>
      <c r="C197" s="112" t="s">
        <v>204</v>
      </c>
      <c r="D197" s="26" t="s">
        <v>7</v>
      </c>
      <c r="E197" s="34">
        <f>4+7</f>
        <v>11</v>
      </c>
      <c r="F197" s="35"/>
      <c r="G197" s="35">
        <f>200+490</f>
        <v>690</v>
      </c>
      <c r="H197" s="35" t="s">
        <v>397</v>
      </c>
    </row>
    <row r="198" spans="1:8" x14ac:dyDescent="0.25">
      <c r="A198" s="93"/>
      <c r="B198" s="96"/>
      <c r="C198" s="112" t="s">
        <v>153</v>
      </c>
      <c r="D198" s="26" t="s">
        <v>7</v>
      </c>
      <c r="E198" s="34">
        <v>9</v>
      </c>
      <c r="F198" s="35">
        <v>35</v>
      </c>
      <c r="G198" s="35">
        <v>315</v>
      </c>
      <c r="H198" s="35" t="s">
        <v>397</v>
      </c>
    </row>
    <row r="199" spans="1:8" x14ac:dyDescent="0.25">
      <c r="A199" s="93"/>
      <c r="B199" s="96"/>
      <c r="C199" s="112" t="s">
        <v>283</v>
      </c>
      <c r="D199" s="26" t="s">
        <v>7</v>
      </c>
      <c r="E199" s="34">
        <v>32</v>
      </c>
      <c r="F199" s="35">
        <v>7</v>
      </c>
      <c r="G199" s="35">
        <v>224</v>
      </c>
      <c r="H199" s="35" t="s">
        <v>397</v>
      </c>
    </row>
    <row r="200" spans="1:8" x14ac:dyDescent="0.25">
      <c r="A200" s="94"/>
      <c r="B200" s="97"/>
      <c r="C200" s="112" t="s">
        <v>58</v>
      </c>
      <c r="D200" s="26" t="s">
        <v>19</v>
      </c>
      <c r="E200" s="34">
        <v>2</v>
      </c>
      <c r="F200" s="35">
        <v>30</v>
      </c>
      <c r="G200" s="35">
        <v>60</v>
      </c>
      <c r="H200" s="35" t="s">
        <v>397</v>
      </c>
    </row>
    <row r="201" spans="1:8" ht="25.5" x14ac:dyDescent="0.25">
      <c r="A201" s="40"/>
      <c r="B201" s="98"/>
      <c r="C201" s="107" t="s">
        <v>9</v>
      </c>
      <c r="D201" s="40"/>
      <c r="E201" s="41"/>
      <c r="F201" s="42"/>
      <c r="G201" s="42">
        <f>SUM(G188:G200)</f>
        <v>31306.1</v>
      </c>
      <c r="H201" s="40">
        <f>SUM(H188:H200)</f>
        <v>0</v>
      </c>
    </row>
    <row r="202" spans="1:8" x14ac:dyDescent="0.25">
      <c r="A202" s="92">
        <v>21</v>
      </c>
      <c r="B202" s="95" t="s">
        <v>70</v>
      </c>
      <c r="C202" s="112" t="s">
        <v>399</v>
      </c>
      <c r="D202" s="26" t="s">
        <v>7</v>
      </c>
      <c r="E202" s="34">
        <v>1</v>
      </c>
      <c r="F202" s="35">
        <v>50998.33</v>
      </c>
      <c r="G202" s="35">
        <f>E202*F202</f>
        <v>50998.33</v>
      </c>
      <c r="H202" s="35" t="s">
        <v>397</v>
      </c>
    </row>
    <row r="203" spans="1:8" x14ac:dyDescent="0.25">
      <c r="A203" s="93"/>
      <c r="B203" s="96"/>
      <c r="C203" s="112" t="s">
        <v>400</v>
      </c>
      <c r="D203" s="26" t="s">
        <v>7</v>
      </c>
      <c r="E203" s="34">
        <v>1</v>
      </c>
      <c r="F203" s="35">
        <v>6808</v>
      </c>
      <c r="G203" s="35">
        <v>6808</v>
      </c>
      <c r="H203" s="35" t="s">
        <v>397</v>
      </c>
    </row>
    <row r="204" spans="1:8" x14ac:dyDescent="0.25">
      <c r="A204" s="94"/>
      <c r="B204" s="97"/>
      <c r="C204" s="112" t="s">
        <v>401</v>
      </c>
      <c r="D204" s="26" t="s">
        <v>7</v>
      </c>
      <c r="E204" s="34">
        <v>1</v>
      </c>
      <c r="F204" s="35">
        <v>9607.0499999999993</v>
      </c>
      <c r="G204" s="35">
        <v>9607.0499999999993</v>
      </c>
      <c r="H204" s="35" t="s">
        <v>397</v>
      </c>
    </row>
    <row r="205" spans="1:8" ht="25.5" x14ac:dyDescent="0.25">
      <c r="A205" s="40"/>
      <c r="B205" s="98"/>
      <c r="C205" s="107" t="s">
        <v>9</v>
      </c>
      <c r="D205" s="40"/>
      <c r="E205" s="41"/>
      <c r="F205" s="42"/>
      <c r="G205" s="42">
        <f>SUM(G202:G204)</f>
        <v>67413.38</v>
      </c>
      <c r="H205" s="40">
        <f>SUM(H202:H204)</f>
        <v>0</v>
      </c>
    </row>
    <row r="206" spans="1:8" x14ac:dyDescent="0.25">
      <c r="A206" s="82">
        <v>22</v>
      </c>
      <c r="B206" s="88" t="s">
        <v>96</v>
      </c>
      <c r="C206" s="112" t="s">
        <v>315</v>
      </c>
      <c r="D206" s="26" t="s">
        <v>7</v>
      </c>
      <c r="E206" s="34">
        <v>1</v>
      </c>
      <c r="F206" s="35">
        <v>1850</v>
      </c>
      <c r="G206" s="35">
        <v>1850</v>
      </c>
      <c r="H206" s="35" t="s">
        <v>397</v>
      </c>
    </row>
    <row r="207" spans="1:8" x14ac:dyDescent="0.25">
      <c r="A207" s="87"/>
      <c r="B207" s="89"/>
      <c r="C207" s="111" t="s">
        <v>47</v>
      </c>
      <c r="D207" s="43" t="s">
        <v>7</v>
      </c>
      <c r="E207" s="37">
        <v>1</v>
      </c>
      <c r="F207" s="38">
        <v>2499.21</v>
      </c>
      <c r="G207" s="38">
        <v>2499.21</v>
      </c>
      <c r="H207" s="35" t="s">
        <v>397</v>
      </c>
    </row>
    <row r="208" spans="1:8" x14ac:dyDescent="0.25">
      <c r="A208" s="87"/>
      <c r="B208" s="89"/>
      <c r="C208" s="171" t="s">
        <v>316</v>
      </c>
      <c r="D208" s="43" t="s">
        <v>7</v>
      </c>
      <c r="E208" s="34">
        <v>3</v>
      </c>
      <c r="F208" s="35">
        <v>2860</v>
      </c>
      <c r="G208" s="35">
        <v>8580</v>
      </c>
      <c r="H208" s="35" t="s">
        <v>397</v>
      </c>
    </row>
    <row r="209" spans="1:8" x14ac:dyDescent="0.25">
      <c r="A209" s="87"/>
      <c r="B209" s="89"/>
      <c r="C209" s="171" t="s">
        <v>317</v>
      </c>
      <c r="D209" s="43" t="s">
        <v>7</v>
      </c>
      <c r="E209" s="34">
        <v>2</v>
      </c>
      <c r="F209" s="35">
        <v>348.35</v>
      </c>
      <c r="G209" s="35">
        <v>696.7</v>
      </c>
      <c r="H209" s="35" t="s">
        <v>397</v>
      </c>
    </row>
    <row r="210" spans="1:8" x14ac:dyDescent="0.25">
      <c r="A210" s="87"/>
      <c r="B210" s="89"/>
      <c r="C210" s="171" t="s">
        <v>75</v>
      </c>
      <c r="D210" s="43" t="s">
        <v>7</v>
      </c>
      <c r="E210" s="34">
        <v>1</v>
      </c>
      <c r="F210" s="35">
        <v>1083.3499999999999</v>
      </c>
      <c r="G210" s="35">
        <v>1083.3499999999999</v>
      </c>
      <c r="H210" s="35" t="s">
        <v>397</v>
      </c>
    </row>
    <row r="211" spans="1:8" x14ac:dyDescent="0.25">
      <c r="A211" s="87"/>
      <c r="B211" s="89"/>
      <c r="C211" s="171" t="s">
        <v>114</v>
      </c>
      <c r="D211" s="43" t="s">
        <v>7</v>
      </c>
      <c r="E211" s="34">
        <v>1</v>
      </c>
      <c r="F211" s="35">
        <v>333.35</v>
      </c>
      <c r="G211" s="35">
        <v>333.35</v>
      </c>
      <c r="H211" s="35" t="s">
        <v>397</v>
      </c>
    </row>
    <row r="212" spans="1:8" x14ac:dyDescent="0.25">
      <c r="A212" s="87"/>
      <c r="B212" s="89"/>
      <c r="C212" s="171" t="s">
        <v>48</v>
      </c>
      <c r="D212" s="43" t="s">
        <v>7</v>
      </c>
      <c r="E212" s="34">
        <v>1</v>
      </c>
      <c r="F212" s="35">
        <v>1221.6500000000001</v>
      </c>
      <c r="G212" s="35">
        <v>1221.6500000000001</v>
      </c>
      <c r="H212" s="35" t="s">
        <v>397</v>
      </c>
    </row>
    <row r="213" spans="1:8" x14ac:dyDescent="0.25">
      <c r="A213" s="87"/>
      <c r="B213" s="89"/>
      <c r="C213" s="171" t="s">
        <v>150</v>
      </c>
      <c r="D213" s="43" t="s">
        <v>7</v>
      </c>
      <c r="E213" s="34">
        <v>5</v>
      </c>
      <c r="F213" s="35">
        <v>123</v>
      </c>
      <c r="G213" s="35">
        <v>615</v>
      </c>
      <c r="H213" s="35" t="s">
        <v>397</v>
      </c>
    </row>
    <row r="214" spans="1:8" x14ac:dyDescent="0.25">
      <c r="A214" s="87"/>
      <c r="B214" s="89"/>
      <c r="C214" s="171" t="s">
        <v>170</v>
      </c>
      <c r="D214" s="43" t="s">
        <v>7</v>
      </c>
      <c r="E214" s="34">
        <v>5</v>
      </c>
      <c r="F214" s="35">
        <v>420</v>
      </c>
      <c r="G214" s="35">
        <v>2100</v>
      </c>
      <c r="H214" s="35" t="s">
        <v>397</v>
      </c>
    </row>
    <row r="215" spans="1:8" x14ac:dyDescent="0.25">
      <c r="A215" s="87"/>
      <c r="B215" s="89"/>
      <c r="C215" s="171" t="s">
        <v>17</v>
      </c>
      <c r="D215" s="43" t="s">
        <v>7</v>
      </c>
      <c r="E215" s="34">
        <v>5</v>
      </c>
      <c r="F215" s="35">
        <v>195</v>
      </c>
      <c r="G215" s="35">
        <v>975</v>
      </c>
      <c r="H215" s="35" t="s">
        <v>397</v>
      </c>
    </row>
    <row r="216" spans="1:8" x14ac:dyDescent="0.25">
      <c r="A216" s="87"/>
      <c r="B216" s="89"/>
      <c r="C216" s="171" t="s">
        <v>318</v>
      </c>
      <c r="D216" s="43" t="s">
        <v>13</v>
      </c>
      <c r="E216" s="34">
        <v>28</v>
      </c>
      <c r="F216" s="35">
        <v>37.5</v>
      </c>
      <c r="G216" s="35">
        <v>1050</v>
      </c>
      <c r="H216" s="35" t="s">
        <v>397</v>
      </c>
    </row>
    <row r="217" spans="1:8" x14ac:dyDescent="0.25">
      <c r="A217" s="87"/>
      <c r="B217" s="89"/>
      <c r="C217" s="171" t="s">
        <v>319</v>
      </c>
      <c r="D217" s="43" t="s">
        <v>7</v>
      </c>
      <c r="E217" s="34">
        <v>7</v>
      </c>
      <c r="F217" s="35">
        <v>75</v>
      </c>
      <c r="G217" s="35">
        <v>525</v>
      </c>
      <c r="H217" s="35" t="s">
        <v>397</v>
      </c>
    </row>
    <row r="218" spans="1:8" x14ac:dyDescent="0.25">
      <c r="A218" s="87"/>
      <c r="B218" s="89"/>
      <c r="C218" s="112" t="s">
        <v>335</v>
      </c>
      <c r="D218" s="26" t="s">
        <v>7</v>
      </c>
      <c r="E218" s="34">
        <v>5</v>
      </c>
      <c r="F218" s="35">
        <v>20</v>
      </c>
      <c r="G218" s="35">
        <v>100</v>
      </c>
      <c r="H218" s="35" t="s">
        <v>397</v>
      </c>
    </row>
    <row r="219" spans="1:8" x14ac:dyDescent="0.25">
      <c r="A219" s="83"/>
      <c r="B219" s="90"/>
      <c r="C219" s="112" t="s">
        <v>283</v>
      </c>
      <c r="D219" s="26" t="s">
        <v>7</v>
      </c>
      <c r="E219" s="34">
        <v>6</v>
      </c>
      <c r="F219" s="35">
        <v>45</v>
      </c>
      <c r="G219" s="35">
        <v>270</v>
      </c>
      <c r="H219" s="35" t="s">
        <v>397</v>
      </c>
    </row>
    <row r="220" spans="1:8" ht="25.5" x14ac:dyDescent="0.25">
      <c r="A220" s="40"/>
      <c r="B220" s="98"/>
      <c r="C220" s="107" t="s">
        <v>9</v>
      </c>
      <c r="D220" s="40"/>
      <c r="E220" s="41"/>
      <c r="F220" s="42"/>
      <c r="G220" s="42">
        <f>SUM(G206:G219)</f>
        <v>21899.260000000002</v>
      </c>
      <c r="H220" s="40">
        <f>SUM(H206:H219)</f>
        <v>0</v>
      </c>
    </row>
    <row r="221" spans="1:8" x14ac:dyDescent="0.25">
      <c r="A221" s="92">
        <v>23</v>
      </c>
      <c r="B221" s="95" t="s">
        <v>43</v>
      </c>
      <c r="C221" s="112" t="s">
        <v>399</v>
      </c>
      <c r="D221" s="26" t="s">
        <v>7</v>
      </c>
      <c r="E221" s="34">
        <v>1</v>
      </c>
      <c r="F221" s="35">
        <v>50998.33</v>
      </c>
      <c r="G221" s="35">
        <f>E221*F221</f>
        <v>50998.33</v>
      </c>
      <c r="H221" s="35" t="s">
        <v>397</v>
      </c>
    </row>
    <row r="222" spans="1:8" x14ac:dyDescent="0.25">
      <c r="A222" s="93"/>
      <c r="B222" s="96"/>
      <c r="C222" s="112" t="s">
        <v>400</v>
      </c>
      <c r="D222" s="26" t="s">
        <v>7</v>
      </c>
      <c r="E222" s="34">
        <v>1</v>
      </c>
      <c r="F222" s="35">
        <v>6808</v>
      </c>
      <c r="G222" s="35">
        <v>6808</v>
      </c>
      <c r="H222" s="35" t="s">
        <v>397</v>
      </c>
    </row>
    <row r="223" spans="1:8" x14ac:dyDescent="0.25">
      <c r="A223" s="94"/>
      <c r="B223" s="97"/>
      <c r="C223" s="112" t="s">
        <v>401</v>
      </c>
      <c r="D223" s="26" t="s">
        <v>7</v>
      </c>
      <c r="E223" s="34">
        <v>1</v>
      </c>
      <c r="F223" s="35">
        <v>9607.0499999999993</v>
      </c>
      <c r="G223" s="35">
        <v>9607.0499999999993</v>
      </c>
      <c r="H223" s="35" t="s">
        <v>397</v>
      </c>
    </row>
    <row r="224" spans="1:8" x14ac:dyDescent="0.25">
      <c r="A224" s="40"/>
      <c r="B224" s="40"/>
      <c r="C224" s="107" t="s">
        <v>9</v>
      </c>
      <c r="D224" s="40"/>
      <c r="E224" s="41"/>
      <c r="F224" s="42"/>
      <c r="G224" s="42">
        <f>SUM(G221:G223)</f>
        <v>67413.38</v>
      </c>
      <c r="H224" s="40"/>
    </row>
    <row r="225" spans="1:8" x14ac:dyDescent="0.25">
      <c r="A225" s="159" t="s">
        <v>410</v>
      </c>
      <c r="B225" s="160"/>
      <c r="C225" s="169"/>
      <c r="D225" s="45"/>
      <c r="E225" s="49"/>
      <c r="F225" s="50"/>
      <c r="G225" s="50">
        <f>G224+G220+G205+G201+G187+G185+G182+G180+G129+G127+G122+G118+G116+G112+G108+G104+G101+G87+G83+G81+G78+G57+G55</f>
        <v>1881106.9500000009</v>
      </c>
      <c r="H225" s="45"/>
    </row>
    <row r="226" spans="1:8" hidden="1" x14ac:dyDescent="0.25">
      <c r="A226" s="43">
        <v>1</v>
      </c>
      <c r="B226" s="43" t="s">
        <v>97</v>
      </c>
      <c r="C226" s="112" t="s">
        <v>399</v>
      </c>
      <c r="D226" s="26" t="s">
        <v>7</v>
      </c>
      <c r="E226" s="34"/>
      <c r="F226" s="35">
        <v>50998.33</v>
      </c>
      <c r="G226" s="35">
        <f>E226*F226</f>
        <v>0</v>
      </c>
      <c r="H226" s="35" t="s">
        <v>397</v>
      </c>
    </row>
    <row r="227" spans="1:8" hidden="1" x14ac:dyDescent="0.25">
      <c r="A227" s="40"/>
      <c r="B227" s="40"/>
      <c r="C227" s="107"/>
      <c r="D227" s="40"/>
      <c r="E227" s="41"/>
      <c r="F227" s="42"/>
      <c r="G227" s="50">
        <f>SUM(G226:G226)</f>
        <v>0</v>
      </c>
      <c r="H227" s="40">
        <f>SUM(H226:H226)</f>
        <v>0</v>
      </c>
    </row>
    <row r="228" spans="1:8" hidden="1" x14ac:dyDescent="0.25">
      <c r="A228" s="45"/>
      <c r="B228" s="45"/>
      <c r="C228" s="169"/>
      <c r="D228" s="45"/>
      <c r="E228" s="49"/>
      <c r="F228" s="50"/>
      <c r="G228" s="51">
        <f>G227+G225</f>
        <v>1881106.9500000009</v>
      </c>
      <c r="H228" s="45"/>
    </row>
    <row r="230" spans="1:8" x14ac:dyDescent="0.25">
      <c r="B230" s="36" t="s">
        <v>63</v>
      </c>
    </row>
  </sheetData>
  <mergeCells count="36">
    <mergeCell ref="A221:A223"/>
    <mergeCell ref="B221:B223"/>
    <mergeCell ref="A188:A200"/>
    <mergeCell ref="B188:B200"/>
    <mergeCell ref="A202:A204"/>
    <mergeCell ref="B202:B204"/>
    <mergeCell ref="A206:A219"/>
    <mergeCell ref="B206:B219"/>
    <mergeCell ref="A123:A126"/>
    <mergeCell ref="B123:B126"/>
    <mergeCell ref="A130:A179"/>
    <mergeCell ref="B130:B179"/>
    <mergeCell ref="A183:A184"/>
    <mergeCell ref="B183:B184"/>
    <mergeCell ref="A109:A111"/>
    <mergeCell ref="B109:B111"/>
    <mergeCell ref="A113:A115"/>
    <mergeCell ref="B113:B115"/>
    <mergeCell ref="A119:A121"/>
    <mergeCell ref="B119:B121"/>
    <mergeCell ref="A1:H1"/>
    <mergeCell ref="A225:B225"/>
    <mergeCell ref="A3:A54"/>
    <mergeCell ref="B3:B54"/>
    <mergeCell ref="A58:A74"/>
    <mergeCell ref="B58:B74"/>
    <mergeCell ref="A79:A80"/>
    <mergeCell ref="B79:B80"/>
    <mergeCell ref="A84:A86"/>
    <mergeCell ref="B84:B86"/>
    <mergeCell ref="A88:A100"/>
    <mergeCell ref="B88:B100"/>
    <mergeCell ref="A102:A103"/>
    <mergeCell ref="B102:B103"/>
    <mergeCell ref="A105:A107"/>
    <mergeCell ref="B105:B107"/>
  </mergeCells>
  <pageMargins left="0.70866141732283472" right="0.70866141732283472" top="0.36" bottom="0.2" header="0.31496062992125984" footer="0.31496062992125984"/>
  <pageSetup paperSize="9" scale="63" orientation="landscape" verticalDpi="0" r:id="rId1"/>
  <rowBreaks count="4" manualBreakCount="4">
    <brk id="48" max="16" man="1"/>
    <brk id="101" max="16" man="1"/>
    <brk id="152" max="16" man="1"/>
    <brk id="205" max="1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view="pageBreakPreview" zoomScaleSheetLayoutView="100" workbookViewId="0">
      <selection activeCell="B2" sqref="B2"/>
    </sheetView>
  </sheetViews>
  <sheetFormatPr defaultRowHeight="15" x14ac:dyDescent="0.25"/>
  <cols>
    <col min="1" max="1" width="3.85546875" style="36" customWidth="1"/>
    <col min="2" max="2" width="26.42578125" style="36" bestFit="1" customWidth="1"/>
    <col min="3" max="3" width="37" style="170" bestFit="1" customWidth="1"/>
    <col min="4" max="4" width="11.85546875" style="36" customWidth="1"/>
    <col min="5" max="5" width="9.140625" style="52" customWidth="1"/>
    <col min="6" max="6" width="14.7109375" style="39" customWidth="1"/>
    <col min="7" max="7" width="13.85546875" style="39" customWidth="1"/>
    <col min="8" max="8" width="22.85546875" style="36" hidden="1" customWidth="1"/>
    <col min="9" max="16384" width="9.140625" style="36"/>
  </cols>
  <sheetData>
    <row r="1" spans="1:8" ht="18.75" x14ac:dyDescent="0.25">
      <c r="A1" s="86" t="s">
        <v>412</v>
      </c>
      <c r="B1" s="86"/>
      <c r="C1" s="86"/>
      <c r="D1" s="86"/>
      <c r="E1" s="86"/>
      <c r="F1" s="86"/>
      <c r="G1" s="86"/>
      <c r="H1" s="86"/>
    </row>
    <row r="2" spans="1:8" ht="47.25" x14ac:dyDescent="0.25">
      <c r="A2" s="22" t="s">
        <v>0</v>
      </c>
      <c r="B2" s="23" t="s">
        <v>1</v>
      </c>
      <c r="C2" s="166" t="s">
        <v>2</v>
      </c>
      <c r="D2" s="23" t="s">
        <v>3</v>
      </c>
      <c r="E2" s="24" t="s">
        <v>4</v>
      </c>
      <c r="F2" s="25" t="s">
        <v>5</v>
      </c>
      <c r="G2" s="25" t="s">
        <v>6</v>
      </c>
      <c r="H2" s="20" t="s">
        <v>54</v>
      </c>
    </row>
    <row r="3" spans="1:8" ht="30" x14ac:dyDescent="0.25">
      <c r="A3" s="26">
        <v>1</v>
      </c>
      <c r="B3" s="99" t="s">
        <v>411</v>
      </c>
      <c r="C3" s="171" t="s">
        <v>413</v>
      </c>
      <c r="D3" s="26" t="s">
        <v>7</v>
      </c>
      <c r="E3" s="34">
        <v>1</v>
      </c>
      <c r="F3" s="35">
        <v>4772.3999999999996</v>
      </c>
      <c r="G3" s="35">
        <v>4772.3999999999996</v>
      </c>
      <c r="H3" s="35" t="s">
        <v>397</v>
      </c>
    </row>
    <row r="4" spans="1:8" ht="25.5" x14ac:dyDescent="0.25">
      <c r="A4" s="40"/>
      <c r="B4" s="98"/>
      <c r="C4" s="107" t="s">
        <v>9</v>
      </c>
      <c r="D4" s="40"/>
      <c r="E4" s="41"/>
      <c r="F4" s="42"/>
      <c r="G4" s="42">
        <f>SUM(G3:G3)</f>
        <v>4772.3999999999996</v>
      </c>
      <c r="H4" s="42">
        <f>SUM(H3:H3)</f>
        <v>0</v>
      </c>
    </row>
    <row r="5" spans="1:8" ht="30" x14ac:dyDescent="0.25">
      <c r="A5" s="26">
        <v>2</v>
      </c>
      <c r="B5" s="99" t="s">
        <v>22</v>
      </c>
      <c r="C5" s="171" t="s">
        <v>413</v>
      </c>
      <c r="D5" s="26" t="s">
        <v>7</v>
      </c>
      <c r="E5" s="34">
        <v>2</v>
      </c>
      <c r="F5" s="35">
        <v>4772.3999999999996</v>
      </c>
      <c r="G5" s="35">
        <v>9544.7999999999993</v>
      </c>
      <c r="H5" s="35" t="s">
        <v>397</v>
      </c>
    </row>
    <row r="6" spans="1:8" ht="25.5" x14ac:dyDescent="0.25">
      <c r="A6" s="40"/>
      <c r="B6" s="98"/>
      <c r="C6" s="107" t="s">
        <v>9</v>
      </c>
      <c r="D6" s="40"/>
      <c r="E6" s="41"/>
      <c r="F6" s="42"/>
      <c r="G6" s="42">
        <f>SUM(G5:G5)</f>
        <v>9544.7999999999993</v>
      </c>
      <c r="H6" s="42">
        <f>SUM(H5:H5)</f>
        <v>0</v>
      </c>
    </row>
    <row r="7" spans="1:8" ht="30" x14ac:dyDescent="0.25">
      <c r="A7" s="43">
        <v>3</v>
      </c>
      <c r="B7" s="91" t="s">
        <v>25</v>
      </c>
      <c r="C7" s="171" t="s">
        <v>413</v>
      </c>
      <c r="D7" s="26" t="s">
        <v>7</v>
      </c>
      <c r="E7" s="34">
        <v>2</v>
      </c>
      <c r="F7" s="35">
        <v>4772.3999999999996</v>
      </c>
      <c r="G7" s="35">
        <v>9544.7999999999993</v>
      </c>
      <c r="H7" s="35" t="s">
        <v>397</v>
      </c>
    </row>
    <row r="8" spans="1:8" ht="25.5" x14ac:dyDescent="0.25">
      <c r="A8" s="40"/>
      <c r="B8" s="98"/>
      <c r="C8" s="107" t="s">
        <v>9</v>
      </c>
      <c r="D8" s="40"/>
      <c r="E8" s="41"/>
      <c r="F8" s="42"/>
      <c r="G8" s="42">
        <f>SUM(G7)</f>
        <v>9544.7999999999993</v>
      </c>
      <c r="H8" s="40"/>
    </row>
    <row r="9" spans="1:8" ht="30" x14ac:dyDescent="0.25">
      <c r="A9" s="43">
        <v>4</v>
      </c>
      <c r="B9" s="91" t="s">
        <v>26</v>
      </c>
      <c r="C9" s="171" t="s">
        <v>413</v>
      </c>
      <c r="D9" s="26" t="s">
        <v>7</v>
      </c>
      <c r="E9" s="34">
        <v>3</v>
      </c>
      <c r="F9" s="35">
        <v>4772.3999999999996</v>
      </c>
      <c r="G9" s="35">
        <v>14317.2</v>
      </c>
      <c r="H9" s="35" t="s">
        <v>397</v>
      </c>
    </row>
    <row r="10" spans="1:8" ht="25.5" x14ac:dyDescent="0.25">
      <c r="A10" s="40"/>
      <c r="B10" s="98"/>
      <c r="C10" s="107" t="s">
        <v>9</v>
      </c>
      <c r="D10" s="40"/>
      <c r="E10" s="41"/>
      <c r="F10" s="42"/>
      <c r="G10" s="42">
        <f>SUM(G9:G9)</f>
        <v>14317.2</v>
      </c>
      <c r="H10" s="40">
        <f>SUM(H9:H9)</f>
        <v>0</v>
      </c>
    </row>
    <row r="11" spans="1:8" ht="30" x14ac:dyDescent="0.25">
      <c r="A11" s="43">
        <v>5</v>
      </c>
      <c r="B11" s="91" t="s">
        <v>45</v>
      </c>
      <c r="C11" s="171" t="s">
        <v>413</v>
      </c>
      <c r="D11" s="26" t="s">
        <v>7</v>
      </c>
      <c r="E11" s="34">
        <v>2</v>
      </c>
      <c r="F11" s="35">
        <v>4772.3999999999996</v>
      </c>
      <c r="G11" s="35">
        <v>9544.7999999999993</v>
      </c>
      <c r="H11" s="35" t="s">
        <v>397</v>
      </c>
    </row>
    <row r="12" spans="1:8" ht="25.5" x14ac:dyDescent="0.25">
      <c r="A12" s="40"/>
      <c r="B12" s="98"/>
      <c r="C12" s="107" t="s">
        <v>9</v>
      </c>
      <c r="D12" s="40"/>
      <c r="E12" s="41"/>
      <c r="F12" s="42"/>
      <c r="G12" s="42">
        <f>SUM(G11:G11)</f>
        <v>9544.7999999999993</v>
      </c>
      <c r="H12" s="40">
        <f>SUM(H11:H11)</f>
        <v>0</v>
      </c>
    </row>
    <row r="13" spans="1:8" ht="30" x14ac:dyDescent="0.25">
      <c r="A13" s="26">
        <v>6</v>
      </c>
      <c r="B13" s="99" t="s">
        <v>27</v>
      </c>
      <c r="C13" s="171" t="s">
        <v>413</v>
      </c>
      <c r="D13" s="26" t="s">
        <v>7</v>
      </c>
      <c r="E13" s="34">
        <v>2</v>
      </c>
      <c r="F13" s="35">
        <v>4772.3999999999996</v>
      </c>
      <c r="G13" s="35">
        <v>9544.7999999999993</v>
      </c>
      <c r="H13" s="35" t="s">
        <v>397</v>
      </c>
    </row>
    <row r="14" spans="1:8" ht="25.5" x14ac:dyDescent="0.25">
      <c r="A14" s="40"/>
      <c r="B14" s="98"/>
      <c r="C14" s="107" t="s">
        <v>9</v>
      </c>
      <c r="D14" s="40"/>
      <c r="E14" s="41"/>
      <c r="F14" s="42"/>
      <c r="G14" s="42">
        <f>SUM(G13:G13)</f>
        <v>9544.7999999999993</v>
      </c>
      <c r="H14" s="40">
        <f>SUM(H13:H13)</f>
        <v>0</v>
      </c>
    </row>
    <row r="15" spans="1:8" ht="30" x14ac:dyDescent="0.25">
      <c r="A15" s="43">
        <v>7</v>
      </c>
      <c r="B15" s="91" t="s">
        <v>414</v>
      </c>
      <c r="C15" s="171" t="s">
        <v>413</v>
      </c>
      <c r="D15" s="26" t="s">
        <v>7</v>
      </c>
      <c r="E15" s="34">
        <v>2</v>
      </c>
      <c r="F15" s="35">
        <v>4772.3999999999996</v>
      </c>
      <c r="G15" s="35">
        <v>9544.7999999999993</v>
      </c>
      <c r="H15" s="35" t="s">
        <v>397</v>
      </c>
    </row>
    <row r="16" spans="1:8" ht="25.5" x14ac:dyDescent="0.25">
      <c r="A16" s="40"/>
      <c r="B16" s="98"/>
      <c r="C16" s="107" t="s">
        <v>9</v>
      </c>
      <c r="D16" s="40"/>
      <c r="E16" s="41"/>
      <c r="F16" s="42"/>
      <c r="G16" s="42">
        <f>SUM(G15:G15)</f>
        <v>9544.7999999999993</v>
      </c>
      <c r="H16" s="40"/>
    </row>
    <row r="17" spans="1:8" ht="30" x14ac:dyDescent="0.25">
      <c r="A17" s="43">
        <v>8</v>
      </c>
      <c r="B17" s="91" t="s">
        <v>32</v>
      </c>
      <c r="C17" s="171" t="s">
        <v>413</v>
      </c>
      <c r="D17" s="26" t="s">
        <v>7</v>
      </c>
      <c r="E17" s="34">
        <v>2</v>
      </c>
      <c r="F17" s="35">
        <v>4772.3999999999996</v>
      </c>
      <c r="G17" s="35">
        <v>9544.7999999999993</v>
      </c>
      <c r="H17" s="35" t="s">
        <v>397</v>
      </c>
    </row>
    <row r="18" spans="1:8" ht="25.5" x14ac:dyDescent="0.25">
      <c r="A18" s="40"/>
      <c r="B18" s="98"/>
      <c r="C18" s="107" t="s">
        <v>9</v>
      </c>
      <c r="D18" s="40"/>
      <c r="E18" s="41"/>
      <c r="F18" s="42"/>
      <c r="G18" s="42">
        <f>SUM(G17:G17)</f>
        <v>9544.7999999999993</v>
      </c>
      <c r="H18" s="40"/>
    </row>
    <row r="19" spans="1:8" ht="30" x14ac:dyDescent="0.25">
      <c r="A19" s="26">
        <v>9</v>
      </c>
      <c r="B19" s="99" t="s">
        <v>69</v>
      </c>
      <c r="C19" s="171" t="s">
        <v>413</v>
      </c>
      <c r="D19" s="26" t="s">
        <v>7</v>
      </c>
      <c r="E19" s="34">
        <v>2</v>
      </c>
      <c r="F19" s="35">
        <v>4772.3999999999996</v>
      </c>
      <c r="G19" s="35">
        <v>9544.7999999999993</v>
      </c>
      <c r="H19" s="26" t="s">
        <v>398</v>
      </c>
    </row>
    <row r="20" spans="1:8" ht="25.5" x14ac:dyDescent="0.25">
      <c r="A20" s="40"/>
      <c r="B20" s="98"/>
      <c r="C20" s="107" t="s">
        <v>9</v>
      </c>
      <c r="D20" s="40"/>
      <c r="E20" s="41"/>
      <c r="F20" s="42"/>
      <c r="G20" s="42">
        <f>SUM(G19:G19)</f>
        <v>9544.7999999999993</v>
      </c>
      <c r="H20" s="40">
        <f>SUM(H19:H19)</f>
        <v>0</v>
      </c>
    </row>
    <row r="21" spans="1:8" ht="30" x14ac:dyDescent="0.25">
      <c r="A21" s="92">
        <v>10</v>
      </c>
      <c r="B21" s="95" t="s">
        <v>33</v>
      </c>
      <c r="C21" s="171" t="s">
        <v>413</v>
      </c>
      <c r="D21" s="26" t="s">
        <v>7</v>
      </c>
      <c r="E21" s="34">
        <v>2</v>
      </c>
      <c r="F21" s="35">
        <v>4772.3999999999996</v>
      </c>
      <c r="G21" s="35">
        <v>9544.7999999999993</v>
      </c>
      <c r="H21" s="35" t="s">
        <v>397</v>
      </c>
    </row>
    <row r="22" spans="1:8" x14ac:dyDescent="0.25">
      <c r="A22" s="93"/>
      <c r="B22" s="96"/>
      <c r="C22" s="171" t="s">
        <v>415</v>
      </c>
      <c r="D22" s="26" t="s">
        <v>7</v>
      </c>
      <c r="E22" s="34">
        <v>2</v>
      </c>
      <c r="F22" s="35">
        <v>3500</v>
      </c>
      <c r="G22" s="35">
        <v>7000</v>
      </c>
      <c r="H22" s="35"/>
    </row>
    <row r="23" spans="1:8" x14ac:dyDescent="0.25">
      <c r="A23" s="93"/>
      <c r="B23" s="96"/>
      <c r="C23" s="171" t="s">
        <v>416</v>
      </c>
      <c r="D23" s="26" t="s">
        <v>7</v>
      </c>
      <c r="E23" s="34">
        <v>4</v>
      </c>
      <c r="F23" s="35">
        <v>4900</v>
      </c>
      <c r="G23" s="35">
        <v>19600</v>
      </c>
      <c r="H23" s="35"/>
    </row>
    <row r="24" spans="1:8" x14ac:dyDescent="0.25">
      <c r="A24" s="93"/>
      <c r="B24" s="96"/>
      <c r="C24" s="171" t="s">
        <v>417</v>
      </c>
      <c r="D24" s="26" t="s">
        <v>7</v>
      </c>
      <c r="E24" s="34">
        <v>3</v>
      </c>
      <c r="F24" s="35">
        <v>6400</v>
      </c>
      <c r="G24" s="35">
        <v>19200</v>
      </c>
      <c r="H24" s="35"/>
    </row>
    <row r="25" spans="1:8" x14ac:dyDescent="0.25">
      <c r="A25" s="93"/>
      <c r="B25" s="96"/>
      <c r="C25" s="171" t="s">
        <v>418</v>
      </c>
      <c r="D25" s="26" t="s">
        <v>7</v>
      </c>
      <c r="E25" s="34">
        <v>30</v>
      </c>
      <c r="F25" s="35">
        <v>800</v>
      </c>
      <c r="G25" s="35">
        <v>24000</v>
      </c>
      <c r="H25" s="35"/>
    </row>
    <row r="26" spans="1:8" x14ac:dyDescent="0.25">
      <c r="A26" s="93"/>
      <c r="B26" s="96"/>
      <c r="C26" s="171" t="s">
        <v>419</v>
      </c>
      <c r="D26" s="26" t="s">
        <v>7</v>
      </c>
      <c r="E26" s="34">
        <v>1</v>
      </c>
      <c r="F26" s="35">
        <v>16800</v>
      </c>
      <c r="G26" s="35">
        <v>16800</v>
      </c>
      <c r="H26" s="35"/>
    </row>
    <row r="27" spans="1:8" x14ac:dyDescent="0.25">
      <c r="A27" s="93"/>
      <c r="B27" s="96"/>
      <c r="C27" s="112" t="s">
        <v>420</v>
      </c>
      <c r="D27" s="26" t="s">
        <v>7</v>
      </c>
      <c r="E27" s="34">
        <v>1</v>
      </c>
      <c r="F27" s="35">
        <v>2862</v>
      </c>
      <c r="G27" s="35">
        <v>2862</v>
      </c>
      <c r="H27" s="35" t="s">
        <v>397</v>
      </c>
    </row>
    <row r="28" spans="1:8" x14ac:dyDescent="0.25">
      <c r="A28" s="94"/>
      <c r="B28" s="97"/>
      <c r="C28" s="112" t="s">
        <v>421</v>
      </c>
      <c r="D28" s="26" t="s">
        <v>7</v>
      </c>
      <c r="E28" s="34">
        <v>4</v>
      </c>
      <c r="F28" s="35">
        <v>7612.5</v>
      </c>
      <c r="G28" s="35">
        <v>30450</v>
      </c>
      <c r="H28" s="35" t="s">
        <v>397</v>
      </c>
    </row>
    <row r="29" spans="1:8" ht="25.5" x14ac:dyDescent="0.25">
      <c r="A29" s="40"/>
      <c r="B29" s="98"/>
      <c r="C29" s="107" t="s">
        <v>9</v>
      </c>
      <c r="D29" s="40"/>
      <c r="E29" s="41"/>
      <c r="F29" s="42"/>
      <c r="G29" s="42">
        <f>SUM(G21:G28)</f>
        <v>129456.8</v>
      </c>
      <c r="H29" s="40"/>
    </row>
    <row r="30" spans="1:8" ht="30" x14ac:dyDescent="0.25">
      <c r="A30" s="26">
        <v>11</v>
      </c>
      <c r="B30" s="99" t="s">
        <v>35</v>
      </c>
      <c r="C30" s="171" t="s">
        <v>413</v>
      </c>
      <c r="D30" s="26" t="s">
        <v>7</v>
      </c>
      <c r="E30" s="34">
        <v>2</v>
      </c>
      <c r="F30" s="35">
        <v>4772.3999999999996</v>
      </c>
      <c r="G30" s="35">
        <v>9544.7999999999993</v>
      </c>
      <c r="H30" s="35" t="s">
        <v>397</v>
      </c>
    </row>
    <row r="31" spans="1:8" ht="25.5" x14ac:dyDescent="0.25">
      <c r="A31" s="40"/>
      <c r="B31" s="98"/>
      <c r="C31" s="107" t="s">
        <v>9</v>
      </c>
      <c r="D31" s="40"/>
      <c r="E31" s="41"/>
      <c r="F31" s="42"/>
      <c r="G31" s="42">
        <f>SUM(G30:G30)</f>
        <v>9544.7999999999993</v>
      </c>
      <c r="H31" s="40">
        <f>SUM(H30:H30)</f>
        <v>0</v>
      </c>
    </row>
    <row r="32" spans="1:8" ht="30" x14ac:dyDescent="0.25">
      <c r="A32" s="43">
        <v>12</v>
      </c>
      <c r="B32" s="91" t="s">
        <v>36</v>
      </c>
      <c r="C32" s="171" t="s">
        <v>413</v>
      </c>
      <c r="D32" s="26" t="s">
        <v>7</v>
      </c>
      <c r="E32" s="34">
        <v>2</v>
      </c>
      <c r="F32" s="35">
        <v>4772.3999999999996</v>
      </c>
      <c r="G32" s="35">
        <v>9544.7999999999993</v>
      </c>
      <c r="H32" s="40"/>
    </row>
    <row r="33" spans="1:8" ht="25.5" x14ac:dyDescent="0.25">
      <c r="A33" s="40"/>
      <c r="B33" s="98"/>
      <c r="C33" s="107"/>
      <c r="D33" s="40"/>
      <c r="E33" s="41"/>
      <c r="F33" s="42"/>
      <c r="G33" s="42">
        <f>SUM(G32)</f>
        <v>9544.7999999999993</v>
      </c>
      <c r="H33" s="40"/>
    </row>
    <row r="34" spans="1:8" ht="30" x14ac:dyDescent="0.25">
      <c r="A34" s="92">
        <v>13</v>
      </c>
      <c r="B34" s="91" t="s">
        <v>37</v>
      </c>
      <c r="C34" s="171" t="s">
        <v>413</v>
      </c>
      <c r="D34" s="26" t="s">
        <v>7</v>
      </c>
      <c r="E34" s="34">
        <v>3</v>
      </c>
      <c r="F34" s="35">
        <v>4772.3999999999996</v>
      </c>
      <c r="G34" s="35">
        <v>14317.2</v>
      </c>
      <c r="H34" s="35" t="s">
        <v>397</v>
      </c>
    </row>
    <row r="35" spans="1:8" ht="25.5" x14ac:dyDescent="0.25">
      <c r="A35" s="94"/>
      <c r="B35" s="91" t="s">
        <v>37</v>
      </c>
      <c r="C35" s="171" t="s">
        <v>422</v>
      </c>
      <c r="D35" s="26" t="s">
        <v>7</v>
      </c>
      <c r="E35" s="34">
        <v>1</v>
      </c>
      <c r="F35" s="35">
        <v>2800</v>
      </c>
      <c r="G35" s="35">
        <v>2800</v>
      </c>
      <c r="H35" s="35"/>
    </row>
    <row r="36" spans="1:8" ht="25.5" x14ac:dyDescent="0.25">
      <c r="A36" s="40"/>
      <c r="B36" s="98"/>
      <c r="C36" s="107" t="s">
        <v>9</v>
      </c>
      <c r="D36" s="40"/>
      <c r="E36" s="41"/>
      <c r="F36" s="42"/>
      <c r="G36" s="42">
        <f>SUM(G34:G35)</f>
        <v>17117.2</v>
      </c>
      <c r="H36" s="40">
        <f>SUM(H34:H34)</f>
        <v>0</v>
      </c>
    </row>
    <row r="37" spans="1:8" ht="30" x14ac:dyDescent="0.25">
      <c r="A37" s="82">
        <v>14</v>
      </c>
      <c r="B37" s="99" t="s">
        <v>61</v>
      </c>
      <c r="C37" s="171" t="s">
        <v>413</v>
      </c>
      <c r="D37" s="26" t="s">
        <v>7</v>
      </c>
      <c r="E37" s="34">
        <v>2</v>
      </c>
      <c r="F37" s="35">
        <v>4772.3999999999996</v>
      </c>
      <c r="G37" s="35">
        <v>9544.7999999999993</v>
      </c>
      <c r="H37" s="35" t="s">
        <v>397</v>
      </c>
    </row>
    <row r="38" spans="1:8" ht="25.5" x14ac:dyDescent="0.25">
      <c r="A38" s="83"/>
      <c r="B38" s="99" t="s">
        <v>61</v>
      </c>
      <c r="C38" s="112" t="s">
        <v>423</v>
      </c>
      <c r="D38" s="26" t="s">
        <v>7</v>
      </c>
      <c r="E38" s="37">
        <v>1</v>
      </c>
      <c r="F38" s="38">
        <v>2000</v>
      </c>
      <c r="G38" s="38">
        <v>2000</v>
      </c>
      <c r="H38" s="35" t="s">
        <v>398</v>
      </c>
    </row>
    <row r="39" spans="1:8" ht="25.5" x14ac:dyDescent="0.25">
      <c r="A39" s="40"/>
      <c r="B39" s="98"/>
      <c r="C39" s="107" t="s">
        <v>9</v>
      </c>
      <c r="D39" s="40"/>
      <c r="E39" s="41"/>
      <c r="F39" s="42"/>
      <c r="G39" s="42">
        <f>SUM(G37:G38)</f>
        <v>11544.8</v>
      </c>
      <c r="H39" s="40">
        <f>SUM(H37:H38)</f>
        <v>0</v>
      </c>
    </row>
    <row r="40" spans="1:8" ht="30" x14ac:dyDescent="0.25">
      <c r="A40" s="43">
        <v>15</v>
      </c>
      <c r="B40" s="91" t="s">
        <v>141</v>
      </c>
      <c r="C40" s="171" t="s">
        <v>413</v>
      </c>
      <c r="D40" s="26" t="s">
        <v>7</v>
      </c>
      <c r="E40" s="34">
        <v>2</v>
      </c>
      <c r="F40" s="35">
        <v>4772.3999999999996</v>
      </c>
      <c r="G40" s="35">
        <v>9544.7999999999993</v>
      </c>
      <c r="H40" s="35" t="s">
        <v>397</v>
      </c>
    </row>
    <row r="41" spans="1:8" ht="25.5" x14ac:dyDescent="0.25">
      <c r="A41" s="40"/>
      <c r="B41" s="98"/>
      <c r="C41" s="107" t="s">
        <v>9</v>
      </c>
      <c r="D41" s="40"/>
      <c r="E41" s="41"/>
      <c r="F41" s="42"/>
      <c r="G41" s="42">
        <f>SUM(G40:G40)</f>
        <v>9544.7999999999993</v>
      </c>
      <c r="H41" s="40"/>
    </row>
    <row r="42" spans="1:8" ht="30" x14ac:dyDescent="0.25">
      <c r="A42" s="26">
        <v>16</v>
      </c>
      <c r="B42" s="99" t="s">
        <v>92</v>
      </c>
      <c r="C42" s="171" t="s">
        <v>413</v>
      </c>
      <c r="D42" s="26" t="s">
        <v>7</v>
      </c>
      <c r="E42" s="34">
        <v>2</v>
      </c>
      <c r="F42" s="35">
        <v>4772.3999999999996</v>
      </c>
      <c r="G42" s="35">
        <v>9544.7999999999993</v>
      </c>
      <c r="H42" s="26"/>
    </row>
    <row r="43" spans="1:8" ht="25.5" x14ac:dyDescent="0.25">
      <c r="A43" s="40"/>
      <c r="B43" s="98"/>
      <c r="C43" s="107" t="s">
        <v>9</v>
      </c>
      <c r="D43" s="40"/>
      <c r="E43" s="41"/>
      <c r="F43" s="42"/>
      <c r="G43" s="42">
        <f>SUM(G42:G42)</f>
        <v>9544.7999999999993</v>
      </c>
      <c r="H43" s="40">
        <f>SUM(H42:H42)</f>
        <v>0</v>
      </c>
    </row>
    <row r="44" spans="1:8" ht="30" x14ac:dyDescent="0.25">
      <c r="A44" s="43">
        <v>17</v>
      </c>
      <c r="B44" s="91" t="s">
        <v>41</v>
      </c>
      <c r="C44" s="171" t="s">
        <v>413</v>
      </c>
      <c r="D44" s="26" t="s">
        <v>7</v>
      </c>
      <c r="E44" s="34">
        <v>2</v>
      </c>
      <c r="F44" s="35">
        <v>4772.3999999999996</v>
      </c>
      <c r="G44" s="35">
        <v>9544.7999999999993</v>
      </c>
      <c r="H44" s="35" t="s">
        <v>397</v>
      </c>
    </row>
    <row r="45" spans="1:8" ht="25.5" x14ac:dyDescent="0.25">
      <c r="A45" s="40"/>
      <c r="B45" s="98"/>
      <c r="C45" s="107" t="s">
        <v>9</v>
      </c>
      <c r="D45" s="40"/>
      <c r="E45" s="41"/>
      <c r="F45" s="42"/>
      <c r="G45" s="42">
        <f>SUM(G44:G44)</f>
        <v>9544.7999999999993</v>
      </c>
      <c r="H45" s="40">
        <f>SUM(H44:H44)</f>
        <v>0</v>
      </c>
    </row>
    <row r="46" spans="1:8" ht="30" x14ac:dyDescent="0.25">
      <c r="A46" s="43">
        <v>18</v>
      </c>
      <c r="B46" s="91" t="s">
        <v>70</v>
      </c>
      <c r="C46" s="171" t="s">
        <v>413</v>
      </c>
      <c r="D46" s="26" t="s">
        <v>7</v>
      </c>
      <c r="E46" s="34">
        <v>2</v>
      </c>
      <c r="F46" s="35">
        <v>4772.3999999999996</v>
      </c>
      <c r="G46" s="35">
        <v>9544.7999999999993</v>
      </c>
      <c r="H46" s="35" t="s">
        <v>397</v>
      </c>
    </row>
    <row r="47" spans="1:8" ht="25.5" x14ac:dyDescent="0.25">
      <c r="A47" s="40"/>
      <c r="B47" s="98"/>
      <c r="C47" s="107" t="s">
        <v>9</v>
      </c>
      <c r="D47" s="40"/>
      <c r="E47" s="41"/>
      <c r="F47" s="42"/>
      <c r="G47" s="42">
        <f>SUM(G46:G46)</f>
        <v>9544.7999999999993</v>
      </c>
      <c r="H47" s="40">
        <f>SUM(H46:H46)</f>
        <v>0</v>
      </c>
    </row>
    <row r="48" spans="1:8" ht="30" x14ac:dyDescent="0.25">
      <c r="A48" s="26">
        <v>19</v>
      </c>
      <c r="B48" s="99" t="s">
        <v>96</v>
      </c>
      <c r="C48" s="171" t="s">
        <v>413</v>
      </c>
      <c r="D48" s="26" t="s">
        <v>7</v>
      </c>
      <c r="E48" s="34">
        <v>2</v>
      </c>
      <c r="F48" s="35">
        <v>4772.3999999999996</v>
      </c>
      <c r="G48" s="35">
        <v>9544.7999999999993</v>
      </c>
      <c r="H48" s="35" t="s">
        <v>397</v>
      </c>
    </row>
    <row r="49" spans="1:8" ht="25.5" x14ac:dyDescent="0.25">
      <c r="A49" s="40"/>
      <c r="B49" s="98"/>
      <c r="C49" s="107" t="s">
        <v>9</v>
      </c>
      <c r="D49" s="40"/>
      <c r="E49" s="41"/>
      <c r="F49" s="42"/>
      <c r="G49" s="42">
        <f>SUM(G48:G48)</f>
        <v>9544.7999999999993</v>
      </c>
      <c r="H49" s="40">
        <f>SUM(H48:H48)</f>
        <v>0</v>
      </c>
    </row>
    <row r="50" spans="1:8" ht="30" x14ac:dyDescent="0.25">
      <c r="A50" s="43">
        <v>20</v>
      </c>
      <c r="B50" s="91" t="s">
        <v>43</v>
      </c>
      <c r="C50" s="171" t="s">
        <v>413</v>
      </c>
      <c r="D50" s="26" t="s">
        <v>7</v>
      </c>
      <c r="E50" s="34">
        <v>2</v>
      </c>
      <c r="F50" s="35">
        <v>4772.3999999999996</v>
      </c>
      <c r="G50" s="35">
        <v>9544.7999999999993</v>
      </c>
      <c r="H50" s="35" t="s">
        <v>397</v>
      </c>
    </row>
    <row r="51" spans="1:8" x14ac:dyDescent="0.25">
      <c r="A51" s="40"/>
      <c r="B51" s="40"/>
      <c r="C51" s="107" t="s">
        <v>9</v>
      </c>
      <c r="D51" s="40"/>
      <c r="E51" s="41"/>
      <c r="F51" s="42"/>
      <c r="G51" s="42">
        <f>SUM(G50:G50)</f>
        <v>9544.7999999999993</v>
      </c>
      <c r="H51" s="40"/>
    </row>
    <row r="52" spans="1:8" x14ac:dyDescent="0.25">
      <c r="A52" s="181" t="s">
        <v>62</v>
      </c>
      <c r="B52" s="182"/>
      <c r="C52" s="169"/>
      <c r="D52" s="45"/>
      <c r="E52" s="49"/>
      <c r="F52" s="50"/>
      <c r="G52" s="50">
        <f>G51+G49+G47+G45+G43+G41+G39+G36+G33+G31+G29+G20+G18+G16+G14+G12+G10+G8+G6+G4</f>
        <v>320380.39999999997</v>
      </c>
      <c r="H52" s="45"/>
    </row>
    <row r="54" spans="1:8" x14ac:dyDescent="0.25">
      <c r="B54" s="36" t="s">
        <v>63</v>
      </c>
    </row>
  </sheetData>
  <mergeCells count="6">
    <mergeCell ref="A52:B52"/>
    <mergeCell ref="A1:H1"/>
    <mergeCell ref="A21:A28"/>
    <mergeCell ref="B21:B28"/>
    <mergeCell ref="A34:A35"/>
    <mergeCell ref="A37:A38"/>
  </mergeCells>
  <pageMargins left="0.33" right="0.21" top="0.27" bottom="0.24" header="0.31496062992125984" footer="0.31496062992125984"/>
  <pageSetup paperSize="9" scale="75" orientation="landscape" verticalDpi="0" r:id="rId1"/>
  <colBreaks count="1" manualBreakCount="1">
    <brk id="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zoomScaleSheetLayoutView="100" workbookViewId="0">
      <pane ySplit="2" topLeftCell="A3" activePane="bottomLeft" state="frozen"/>
      <selection pane="bottomLeft" activeCell="B2" sqref="B2"/>
    </sheetView>
  </sheetViews>
  <sheetFormatPr defaultRowHeight="15" x14ac:dyDescent="0.25"/>
  <cols>
    <col min="1" max="1" width="3.85546875" style="36" customWidth="1"/>
    <col min="2" max="2" width="31" style="36" customWidth="1"/>
    <col min="3" max="3" width="35.7109375" style="170" customWidth="1"/>
    <col min="4" max="4" width="11.85546875" style="36" customWidth="1"/>
    <col min="5" max="5" width="9.140625" style="52" customWidth="1"/>
    <col min="6" max="6" width="14.7109375" style="39" customWidth="1"/>
    <col min="7" max="7" width="13.85546875" style="39" customWidth="1"/>
    <col min="8" max="8" width="22.85546875" style="36" hidden="1" customWidth="1"/>
    <col min="9" max="16384" width="9.140625" style="36"/>
  </cols>
  <sheetData>
    <row r="1" spans="1:8" ht="18.75" x14ac:dyDescent="0.25">
      <c r="A1" s="86" t="s">
        <v>424</v>
      </c>
      <c r="B1" s="86"/>
      <c r="C1" s="86"/>
      <c r="D1" s="86"/>
      <c r="E1" s="86"/>
      <c r="F1" s="86"/>
      <c r="G1" s="86"/>
      <c r="H1" s="86"/>
    </row>
    <row r="2" spans="1:8" ht="47.25" x14ac:dyDescent="0.25">
      <c r="A2" s="22" t="s">
        <v>0</v>
      </c>
      <c r="B2" s="23" t="s">
        <v>1</v>
      </c>
      <c r="C2" s="166" t="s">
        <v>2</v>
      </c>
      <c r="D2" s="23" t="s">
        <v>3</v>
      </c>
      <c r="E2" s="24" t="s">
        <v>4</v>
      </c>
      <c r="F2" s="25" t="s">
        <v>5</v>
      </c>
      <c r="G2" s="25" t="s">
        <v>6</v>
      </c>
      <c r="H2" s="20" t="s">
        <v>54</v>
      </c>
    </row>
    <row r="3" spans="1:8" x14ac:dyDescent="0.25">
      <c r="A3" s="82">
        <v>1</v>
      </c>
      <c r="B3" s="88" t="s">
        <v>55</v>
      </c>
      <c r="C3" s="112" t="s">
        <v>429</v>
      </c>
      <c r="D3" s="26" t="s">
        <v>7</v>
      </c>
      <c r="E3" s="34">
        <v>10</v>
      </c>
      <c r="F3" s="35">
        <f>G3/E3</f>
        <v>80</v>
      </c>
      <c r="G3" s="35">
        <v>800</v>
      </c>
      <c r="H3" s="35" t="s">
        <v>397</v>
      </c>
    </row>
    <row r="4" spans="1:8" x14ac:dyDescent="0.25">
      <c r="A4" s="87"/>
      <c r="B4" s="89"/>
      <c r="C4" s="102" t="s">
        <v>430</v>
      </c>
      <c r="D4" s="26" t="s">
        <v>7</v>
      </c>
      <c r="E4" s="84">
        <v>1</v>
      </c>
      <c r="F4" s="35">
        <v>18422.2</v>
      </c>
      <c r="G4" s="35">
        <v>18422.2</v>
      </c>
      <c r="H4" s="26" t="s">
        <v>398</v>
      </c>
    </row>
    <row r="5" spans="1:8" x14ac:dyDescent="0.25">
      <c r="A5" s="87"/>
      <c r="B5" s="89"/>
      <c r="C5" s="103"/>
      <c r="D5" s="26" t="s">
        <v>7</v>
      </c>
      <c r="E5" s="85"/>
      <c r="F5" s="35">
        <v>1747.94</v>
      </c>
      <c r="G5" s="35">
        <v>1747.94</v>
      </c>
      <c r="H5" s="26" t="s">
        <v>398</v>
      </c>
    </row>
    <row r="6" spans="1:8" x14ac:dyDescent="0.25">
      <c r="A6" s="87"/>
      <c r="B6" s="89"/>
      <c r="C6" s="112" t="s">
        <v>431</v>
      </c>
      <c r="D6" s="26" t="s">
        <v>7</v>
      </c>
      <c r="E6" s="34">
        <v>2</v>
      </c>
      <c r="F6" s="35">
        <v>6900</v>
      </c>
      <c r="G6" s="35">
        <v>13800</v>
      </c>
      <c r="H6" s="26" t="s">
        <v>398</v>
      </c>
    </row>
    <row r="7" spans="1:8" x14ac:dyDescent="0.25">
      <c r="A7" s="87"/>
      <c r="B7" s="89"/>
      <c r="C7" s="112" t="s">
        <v>432</v>
      </c>
      <c r="D7" s="26" t="s">
        <v>7</v>
      </c>
      <c r="E7" s="34">
        <v>1</v>
      </c>
      <c r="F7" s="35">
        <v>62600</v>
      </c>
      <c r="G7" s="35">
        <v>62600</v>
      </c>
      <c r="H7" s="26" t="s">
        <v>398</v>
      </c>
    </row>
    <row r="8" spans="1:8" ht="45" x14ac:dyDescent="0.25">
      <c r="A8" s="83"/>
      <c r="B8" s="90"/>
      <c r="C8" s="171" t="s">
        <v>433</v>
      </c>
      <c r="D8" s="26" t="s">
        <v>7</v>
      </c>
      <c r="E8" s="37">
        <v>70</v>
      </c>
      <c r="F8" s="38">
        <v>13941</v>
      </c>
      <c r="G8" s="38">
        <v>13941</v>
      </c>
      <c r="H8" s="26" t="s">
        <v>398</v>
      </c>
    </row>
    <row r="9" spans="1:8" ht="25.5" hidden="1" x14ac:dyDescent="0.25">
      <c r="A9" s="26">
        <v>7</v>
      </c>
      <c r="B9" s="99" t="s">
        <v>55</v>
      </c>
      <c r="C9" s="112"/>
      <c r="D9" s="26" t="s">
        <v>7</v>
      </c>
      <c r="E9" s="37"/>
      <c r="F9" s="38"/>
      <c r="G9" s="38"/>
      <c r="H9" s="26" t="s">
        <v>398</v>
      </c>
    </row>
    <row r="10" spans="1:8" ht="25.5" hidden="1" x14ac:dyDescent="0.25">
      <c r="A10" s="26">
        <v>8</v>
      </c>
      <c r="B10" s="99" t="s">
        <v>55</v>
      </c>
      <c r="C10" s="112"/>
      <c r="D10" s="26" t="s">
        <v>7</v>
      </c>
      <c r="E10" s="37"/>
      <c r="F10" s="38"/>
      <c r="G10" s="38"/>
      <c r="H10" s="26" t="s">
        <v>398</v>
      </c>
    </row>
    <row r="11" spans="1:8" ht="25.5" hidden="1" x14ac:dyDescent="0.25">
      <c r="A11" s="26">
        <v>9</v>
      </c>
      <c r="B11" s="99" t="s">
        <v>55</v>
      </c>
      <c r="C11" s="112"/>
      <c r="D11" s="26" t="s">
        <v>7</v>
      </c>
      <c r="E11" s="37"/>
      <c r="F11" s="38"/>
      <c r="G11" s="38"/>
      <c r="H11" s="26" t="s">
        <v>398</v>
      </c>
    </row>
    <row r="12" spans="1:8" ht="25.5" hidden="1" x14ac:dyDescent="0.25">
      <c r="A12" s="26">
        <v>10</v>
      </c>
      <c r="B12" s="99" t="s">
        <v>55</v>
      </c>
      <c r="C12" s="112"/>
      <c r="D12" s="26" t="s">
        <v>7</v>
      </c>
      <c r="E12" s="37"/>
      <c r="F12" s="38"/>
      <c r="G12" s="38"/>
      <c r="H12" s="26" t="s">
        <v>398</v>
      </c>
    </row>
    <row r="13" spans="1:8" ht="25.5" hidden="1" x14ac:dyDescent="0.25">
      <c r="A13" s="26">
        <v>11</v>
      </c>
      <c r="B13" s="99" t="s">
        <v>55</v>
      </c>
      <c r="C13" s="112"/>
      <c r="D13" s="26" t="s">
        <v>7</v>
      </c>
      <c r="E13" s="37"/>
      <c r="F13" s="38"/>
      <c r="G13" s="38"/>
      <c r="H13" s="26" t="s">
        <v>398</v>
      </c>
    </row>
    <row r="14" spans="1:8" ht="25.5" hidden="1" x14ac:dyDescent="0.25">
      <c r="A14" s="26">
        <v>12</v>
      </c>
      <c r="B14" s="99" t="s">
        <v>55</v>
      </c>
      <c r="C14" s="112"/>
      <c r="D14" s="26" t="s">
        <v>7</v>
      </c>
      <c r="E14" s="37"/>
      <c r="F14" s="38"/>
      <c r="G14" s="38"/>
      <c r="H14" s="26" t="s">
        <v>398</v>
      </c>
    </row>
    <row r="15" spans="1:8" ht="25.5" hidden="1" x14ac:dyDescent="0.25">
      <c r="A15" s="26">
        <v>13</v>
      </c>
      <c r="B15" s="99" t="s">
        <v>55</v>
      </c>
      <c r="C15" s="112"/>
      <c r="D15" s="26" t="s">
        <v>7</v>
      </c>
      <c r="E15" s="37"/>
      <c r="F15" s="38"/>
      <c r="G15" s="38"/>
      <c r="H15" s="26" t="s">
        <v>398</v>
      </c>
    </row>
    <row r="16" spans="1:8" ht="25.5" hidden="1" x14ac:dyDescent="0.25">
      <c r="A16" s="26">
        <v>14</v>
      </c>
      <c r="B16" s="99" t="s">
        <v>55</v>
      </c>
      <c r="C16" s="112"/>
      <c r="D16" s="26" t="s">
        <v>7</v>
      </c>
      <c r="E16" s="37"/>
      <c r="F16" s="38"/>
      <c r="G16" s="38"/>
      <c r="H16" s="26" t="s">
        <v>398</v>
      </c>
    </row>
    <row r="17" spans="1:8" ht="25.5" hidden="1" x14ac:dyDescent="0.25">
      <c r="A17" s="26">
        <v>15</v>
      </c>
      <c r="B17" s="99" t="s">
        <v>55</v>
      </c>
      <c r="C17" s="112"/>
      <c r="D17" s="26" t="s">
        <v>7</v>
      </c>
      <c r="E17" s="37"/>
      <c r="F17" s="38"/>
      <c r="G17" s="38"/>
      <c r="H17" s="26" t="s">
        <v>398</v>
      </c>
    </row>
    <row r="18" spans="1:8" ht="25.5" hidden="1" x14ac:dyDescent="0.25">
      <c r="A18" s="26">
        <v>16</v>
      </c>
      <c r="B18" s="99" t="s">
        <v>55</v>
      </c>
      <c r="C18" s="112"/>
      <c r="D18" s="26" t="s">
        <v>7</v>
      </c>
      <c r="E18" s="37"/>
      <c r="F18" s="38"/>
      <c r="G18" s="38"/>
      <c r="H18" s="26" t="s">
        <v>398</v>
      </c>
    </row>
    <row r="19" spans="1:8" ht="25.5" hidden="1" x14ac:dyDescent="0.25">
      <c r="A19" s="26">
        <v>17</v>
      </c>
      <c r="B19" s="99" t="s">
        <v>55</v>
      </c>
      <c r="C19" s="112"/>
      <c r="D19" s="26" t="s">
        <v>7</v>
      </c>
      <c r="E19" s="37"/>
      <c r="F19" s="38"/>
      <c r="G19" s="38"/>
      <c r="H19" s="26" t="s">
        <v>398</v>
      </c>
    </row>
    <row r="20" spans="1:8" ht="25.5" hidden="1" x14ac:dyDescent="0.25">
      <c r="A20" s="26">
        <v>18</v>
      </c>
      <c r="B20" s="99" t="s">
        <v>55</v>
      </c>
      <c r="C20" s="112"/>
      <c r="D20" s="26" t="s">
        <v>7</v>
      </c>
      <c r="E20" s="37"/>
      <c r="F20" s="38"/>
      <c r="G20" s="38"/>
      <c r="H20" s="26" t="s">
        <v>398</v>
      </c>
    </row>
    <row r="21" spans="1:8" ht="25.5" hidden="1" x14ac:dyDescent="0.25">
      <c r="A21" s="26">
        <v>19</v>
      </c>
      <c r="B21" s="99" t="s">
        <v>55</v>
      </c>
      <c r="C21" s="112"/>
      <c r="D21" s="26" t="s">
        <v>7</v>
      </c>
      <c r="E21" s="37"/>
      <c r="F21" s="38"/>
      <c r="G21" s="38"/>
      <c r="H21" s="26" t="s">
        <v>398</v>
      </c>
    </row>
    <row r="22" spans="1:8" ht="25.5" hidden="1" x14ac:dyDescent="0.25">
      <c r="A22" s="26">
        <v>20</v>
      </c>
      <c r="B22" s="99" t="s">
        <v>55</v>
      </c>
      <c r="C22" s="112"/>
      <c r="D22" s="26" t="s">
        <v>7</v>
      </c>
      <c r="E22" s="37"/>
      <c r="F22" s="38"/>
      <c r="G22" s="38"/>
      <c r="H22" s="26" t="s">
        <v>398</v>
      </c>
    </row>
    <row r="23" spans="1:8" ht="25.5" hidden="1" x14ac:dyDescent="0.25">
      <c r="A23" s="26">
        <v>21</v>
      </c>
      <c r="B23" s="99" t="s">
        <v>55</v>
      </c>
      <c r="C23" s="112"/>
      <c r="D23" s="26" t="s">
        <v>7</v>
      </c>
      <c r="E23" s="37"/>
      <c r="F23" s="38"/>
      <c r="G23" s="38"/>
      <c r="H23" s="26" t="s">
        <v>398</v>
      </c>
    </row>
    <row r="24" spans="1:8" ht="25.5" hidden="1" x14ac:dyDescent="0.25">
      <c r="A24" s="26">
        <v>22</v>
      </c>
      <c r="B24" s="99" t="s">
        <v>55</v>
      </c>
      <c r="C24" s="112"/>
      <c r="D24" s="26" t="s">
        <v>7</v>
      </c>
      <c r="E24" s="37"/>
      <c r="F24" s="38"/>
      <c r="G24" s="38"/>
      <c r="H24" s="26" t="s">
        <v>398</v>
      </c>
    </row>
    <row r="25" spans="1:8" ht="25.5" hidden="1" x14ac:dyDescent="0.25">
      <c r="A25" s="26">
        <v>23</v>
      </c>
      <c r="B25" s="99" t="s">
        <v>55</v>
      </c>
      <c r="C25" s="112"/>
      <c r="D25" s="26" t="s">
        <v>7</v>
      </c>
      <c r="E25" s="37"/>
      <c r="F25" s="38"/>
      <c r="G25" s="38"/>
      <c r="H25" s="26" t="s">
        <v>398</v>
      </c>
    </row>
    <row r="26" spans="1:8" ht="25.5" hidden="1" x14ac:dyDescent="0.25">
      <c r="A26" s="26">
        <v>24</v>
      </c>
      <c r="B26" s="99" t="s">
        <v>55</v>
      </c>
      <c r="C26" s="112"/>
      <c r="D26" s="26" t="s">
        <v>7</v>
      </c>
      <c r="E26" s="37"/>
      <c r="F26" s="38"/>
      <c r="G26" s="38"/>
      <c r="H26" s="26" t="s">
        <v>398</v>
      </c>
    </row>
    <row r="27" spans="1:8" ht="25.5" hidden="1" x14ac:dyDescent="0.25">
      <c r="A27" s="26">
        <v>25</v>
      </c>
      <c r="B27" s="99" t="s">
        <v>55</v>
      </c>
      <c r="C27" s="112"/>
      <c r="D27" s="26" t="s">
        <v>7</v>
      </c>
      <c r="E27" s="37"/>
      <c r="F27" s="38"/>
      <c r="G27" s="38"/>
      <c r="H27" s="26" t="s">
        <v>398</v>
      </c>
    </row>
    <row r="28" spans="1:8" ht="25.5" hidden="1" x14ac:dyDescent="0.25">
      <c r="A28" s="26">
        <v>26</v>
      </c>
      <c r="B28" s="99" t="s">
        <v>55</v>
      </c>
      <c r="C28" s="112"/>
      <c r="D28" s="26" t="s">
        <v>7</v>
      </c>
      <c r="E28" s="37"/>
      <c r="F28" s="38"/>
      <c r="G28" s="38"/>
      <c r="H28" s="26" t="s">
        <v>398</v>
      </c>
    </row>
    <row r="29" spans="1:8" ht="25.5" hidden="1" x14ac:dyDescent="0.25">
      <c r="A29" s="26">
        <v>27</v>
      </c>
      <c r="B29" s="99" t="s">
        <v>55</v>
      </c>
      <c r="C29" s="112"/>
      <c r="D29" s="26" t="s">
        <v>7</v>
      </c>
      <c r="E29" s="37"/>
      <c r="F29" s="38"/>
      <c r="G29" s="38"/>
      <c r="H29" s="26" t="s">
        <v>398</v>
      </c>
    </row>
    <row r="30" spans="1:8" ht="25.5" hidden="1" x14ac:dyDescent="0.25">
      <c r="A30" s="26">
        <v>28</v>
      </c>
      <c r="B30" s="99" t="s">
        <v>55</v>
      </c>
      <c r="C30" s="112"/>
      <c r="D30" s="26" t="s">
        <v>7</v>
      </c>
      <c r="E30" s="37"/>
      <c r="F30" s="38"/>
      <c r="G30" s="38"/>
      <c r="H30" s="26" t="s">
        <v>398</v>
      </c>
    </row>
    <row r="31" spans="1:8" ht="25.5" hidden="1" x14ac:dyDescent="0.25">
      <c r="A31" s="26">
        <v>29</v>
      </c>
      <c r="B31" s="99" t="s">
        <v>55</v>
      </c>
      <c r="C31" s="112"/>
      <c r="D31" s="26" t="s">
        <v>7</v>
      </c>
      <c r="E31" s="37"/>
      <c r="F31" s="38"/>
      <c r="G31" s="38"/>
      <c r="H31" s="26" t="s">
        <v>398</v>
      </c>
    </row>
    <row r="32" spans="1:8" ht="25.5" hidden="1" x14ac:dyDescent="0.25">
      <c r="A32" s="26">
        <v>30</v>
      </c>
      <c r="B32" s="99" t="s">
        <v>55</v>
      </c>
      <c r="C32" s="112"/>
      <c r="D32" s="26" t="s">
        <v>7</v>
      </c>
      <c r="E32" s="37"/>
      <c r="F32" s="38"/>
      <c r="G32" s="38"/>
      <c r="H32" s="26" t="s">
        <v>398</v>
      </c>
    </row>
    <row r="33" spans="1:10" ht="25.5" hidden="1" x14ac:dyDescent="0.25">
      <c r="A33" s="26">
        <v>31</v>
      </c>
      <c r="B33" s="99" t="s">
        <v>55</v>
      </c>
      <c r="C33" s="112"/>
      <c r="D33" s="26" t="s">
        <v>7</v>
      </c>
      <c r="E33" s="37"/>
      <c r="F33" s="38"/>
      <c r="G33" s="38"/>
      <c r="H33" s="26" t="s">
        <v>398</v>
      </c>
    </row>
    <row r="34" spans="1:10" ht="25.5" hidden="1" x14ac:dyDescent="0.25">
      <c r="A34" s="26">
        <v>32</v>
      </c>
      <c r="B34" s="99" t="s">
        <v>55</v>
      </c>
      <c r="C34" s="112"/>
      <c r="D34" s="26" t="s">
        <v>7</v>
      </c>
      <c r="E34" s="37"/>
      <c r="F34" s="38"/>
      <c r="G34" s="38"/>
      <c r="H34" s="26" t="s">
        <v>398</v>
      </c>
    </row>
    <row r="35" spans="1:10" ht="25.5" hidden="1" x14ac:dyDescent="0.25">
      <c r="A35" s="26">
        <v>33</v>
      </c>
      <c r="B35" s="99" t="s">
        <v>55</v>
      </c>
      <c r="C35" s="112"/>
      <c r="D35" s="26" t="s">
        <v>7</v>
      </c>
      <c r="E35" s="37"/>
      <c r="F35" s="38"/>
      <c r="G35" s="38"/>
      <c r="H35" s="26" t="s">
        <v>398</v>
      </c>
    </row>
    <row r="36" spans="1:10" ht="25.5" hidden="1" x14ac:dyDescent="0.25">
      <c r="A36" s="26">
        <v>34</v>
      </c>
      <c r="B36" s="99" t="s">
        <v>55</v>
      </c>
      <c r="C36" s="112"/>
      <c r="D36" s="26" t="s">
        <v>7</v>
      </c>
      <c r="E36" s="37"/>
      <c r="F36" s="38"/>
      <c r="G36" s="38"/>
      <c r="H36" s="26" t="s">
        <v>398</v>
      </c>
      <c r="J36" s="26"/>
    </row>
    <row r="37" spans="1:10" ht="25.5" hidden="1" x14ac:dyDescent="0.25">
      <c r="A37" s="26">
        <v>35</v>
      </c>
      <c r="B37" s="99" t="s">
        <v>55</v>
      </c>
      <c r="C37" s="112"/>
      <c r="D37" s="26" t="s">
        <v>7</v>
      </c>
      <c r="E37" s="37"/>
      <c r="F37" s="38"/>
      <c r="G37" s="38"/>
      <c r="H37" s="26" t="s">
        <v>398</v>
      </c>
    </row>
    <row r="38" spans="1:10" ht="25.5" hidden="1" x14ac:dyDescent="0.25">
      <c r="A38" s="26">
        <v>36</v>
      </c>
      <c r="B38" s="99" t="s">
        <v>55</v>
      </c>
      <c r="C38" s="112"/>
      <c r="D38" s="26" t="s">
        <v>13</v>
      </c>
      <c r="E38" s="37"/>
      <c r="F38" s="38"/>
      <c r="G38" s="38"/>
      <c r="H38" s="26" t="s">
        <v>398</v>
      </c>
    </row>
    <row r="39" spans="1:10" ht="25.5" hidden="1" x14ac:dyDescent="0.25">
      <c r="A39" s="26">
        <v>37</v>
      </c>
      <c r="B39" s="99" t="s">
        <v>55</v>
      </c>
      <c r="C39" s="112"/>
      <c r="D39" s="26" t="s">
        <v>15</v>
      </c>
      <c r="E39" s="37"/>
      <c r="F39" s="38"/>
      <c r="G39" s="38"/>
      <c r="H39" s="26" t="s">
        <v>398</v>
      </c>
    </row>
    <row r="40" spans="1:10" ht="25.5" hidden="1" x14ac:dyDescent="0.25">
      <c r="A40" s="26">
        <v>38</v>
      </c>
      <c r="B40" s="99" t="s">
        <v>55</v>
      </c>
      <c r="C40" s="112"/>
      <c r="D40" s="26" t="s">
        <v>13</v>
      </c>
      <c r="E40" s="37"/>
      <c r="F40" s="38"/>
      <c r="G40" s="38"/>
      <c r="H40" s="26" t="s">
        <v>398</v>
      </c>
    </row>
    <row r="41" spans="1:10" ht="25.5" hidden="1" x14ac:dyDescent="0.25">
      <c r="A41" s="26">
        <v>39</v>
      </c>
      <c r="B41" s="99" t="s">
        <v>55</v>
      </c>
      <c r="C41" s="112"/>
      <c r="D41" s="26" t="s">
        <v>7</v>
      </c>
      <c r="E41" s="37"/>
      <c r="F41" s="38"/>
      <c r="G41" s="38"/>
      <c r="H41" s="26" t="s">
        <v>398</v>
      </c>
    </row>
    <row r="42" spans="1:10" ht="25.5" hidden="1" x14ac:dyDescent="0.25">
      <c r="A42" s="26">
        <v>40</v>
      </c>
      <c r="B42" s="99" t="s">
        <v>55</v>
      </c>
      <c r="C42" s="112"/>
      <c r="D42" s="26" t="s">
        <v>7</v>
      </c>
      <c r="E42" s="37"/>
      <c r="F42" s="38"/>
      <c r="G42" s="38"/>
      <c r="H42" s="26" t="s">
        <v>398</v>
      </c>
    </row>
    <row r="43" spans="1:10" ht="25.5" hidden="1" x14ac:dyDescent="0.25">
      <c r="A43" s="26">
        <v>41</v>
      </c>
      <c r="B43" s="99" t="s">
        <v>55</v>
      </c>
      <c r="C43" s="112"/>
      <c r="D43" s="26" t="s">
        <v>13</v>
      </c>
      <c r="E43" s="37"/>
      <c r="F43" s="38"/>
      <c r="G43" s="38"/>
      <c r="H43" s="26" t="s">
        <v>398</v>
      </c>
    </row>
    <row r="44" spans="1:10" ht="25.5" hidden="1" x14ac:dyDescent="0.25">
      <c r="A44" s="26">
        <v>42</v>
      </c>
      <c r="B44" s="99" t="s">
        <v>55</v>
      </c>
      <c r="C44" s="112"/>
      <c r="D44" s="26" t="s">
        <v>7</v>
      </c>
      <c r="E44" s="37"/>
      <c r="F44" s="38"/>
      <c r="G44" s="38"/>
      <c r="H44" s="26" t="s">
        <v>398</v>
      </c>
    </row>
    <row r="45" spans="1:10" ht="25.5" hidden="1" x14ac:dyDescent="0.25">
      <c r="A45" s="26">
        <v>43</v>
      </c>
      <c r="B45" s="99" t="s">
        <v>55</v>
      </c>
      <c r="C45" s="112"/>
      <c r="D45" s="26" t="s">
        <v>7</v>
      </c>
      <c r="E45" s="37"/>
      <c r="F45" s="38"/>
      <c r="G45" s="38"/>
      <c r="H45" s="26" t="s">
        <v>398</v>
      </c>
    </row>
    <row r="46" spans="1:10" ht="25.5" hidden="1" x14ac:dyDescent="0.25">
      <c r="A46" s="26">
        <v>44</v>
      </c>
      <c r="B46" s="99" t="s">
        <v>55</v>
      </c>
      <c r="C46" s="112"/>
      <c r="D46" s="26" t="s">
        <v>7</v>
      </c>
      <c r="E46" s="37"/>
      <c r="F46" s="38"/>
      <c r="G46" s="38"/>
      <c r="H46" s="26" t="s">
        <v>398</v>
      </c>
    </row>
    <row r="47" spans="1:10" ht="25.5" hidden="1" x14ac:dyDescent="0.25">
      <c r="A47" s="26">
        <v>45</v>
      </c>
      <c r="B47" s="99" t="s">
        <v>55</v>
      </c>
      <c r="C47" s="112"/>
      <c r="D47" s="26" t="s">
        <v>13</v>
      </c>
      <c r="E47" s="37"/>
      <c r="F47" s="38"/>
      <c r="G47" s="38"/>
      <c r="H47" s="26" t="s">
        <v>398</v>
      </c>
    </row>
    <row r="48" spans="1:10" ht="25.5" hidden="1" x14ac:dyDescent="0.25">
      <c r="A48" s="26">
        <v>46</v>
      </c>
      <c r="B48" s="99" t="s">
        <v>55</v>
      </c>
      <c r="C48" s="112"/>
      <c r="D48" s="26" t="s">
        <v>7</v>
      </c>
      <c r="E48" s="37"/>
      <c r="F48" s="38"/>
      <c r="G48" s="38"/>
      <c r="H48" s="26" t="s">
        <v>398</v>
      </c>
    </row>
    <row r="49" spans="1:8" ht="25.5" hidden="1" x14ac:dyDescent="0.25">
      <c r="A49" s="26">
        <v>47</v>
      </c>
      <c r="B49" s="99" t="s">
        <v>55</v>
      </c>
      <c r="C49" s="112"/>
      <c r="D49" s="26" t="s">
        <v>13</v>
      </c>
      <c r="E49" s="37"/>
      <c r="F49" s="38"/>
      <c r="G49" s="38"/>
      <c r="H49" s="26" t="s">
        <v>398</v>
      </c>
    </row>
    <row r="50" spans="1:8" ht="25.5" hidden="1" x14ac:dyDescent="0.25">
      <c r="A50" s="26">
        <v>48</v>
      </c>
      <c r="B50" s="99" t="s">
        <v>55</v>
      </c>
      <c r="C50" s="112"/>
      <c r="D50" s="26" t="s">
        <v>7</v>
      </c>
      <c r="E50" s="37"/>
      <c r="F50" s="38"/>
      <c r="G50" s="38"/>
      <c r="H50" s="26" t="s">
        <v>398</v>
      </c>
    </row>
    <row r="51" spans="1:8" ht="25.5" hidden="1" x14ac:dyDescent="0.25">
      <c r="A51" s="26">
        <v>49</v>
      </c>
      <c r="B51" s="99" t="s">
        <v>55</v>
      </c>
      <c r="C51" s="112"/>
      <c r="D51" s="26" t="s">
        <v>13</v>
      </c>
      <c r="E51" s="37"/>
      <c r="F51" s="38"/>
      <c r="G51" s="38"/>
      <c r="H51" s="26" t="s">
        <v>398</v>
      </c>
    </row>
    <row r="52" spans="1:8" ht="25.5" hidden="1" x14ac:dyDescent="0.25">
      <c r="A52" s="26">
        <v>50</v>
      </c>
      <c r="B52" s="99" t="s">
        <v>55</v>
      </c>
      <c r="C52" s="112"/>
      <c r="D52" s="26" t="s">
        <v>15</v>
      </c>
      <c r="E52" s="37"/>
      <c r="F52" s="38"/>
      <c r="G52" s="38"/>
      <c r="H52" s="26" t="s">
        <v>398</v>
      </c>
    </row>
    <row r="53" spans="1:8" ht="25.5" hidden="1" x14ac:dyDescent="0.25">
      <c r="A53" s="26">
        <v>51</v>
      </c>
      <c r="B53" s="99" t="s">
        <v>55</v>
      </c>
      <c r="C53" s="112"/>
      <c r="D53" s="26" t="s">
        <v>7</v>
      </c>
      <c r="E53" s="37"/>
      <c r="F53" s="38"/>
      <c r="G53" s="38"/>
      <c r="H53" s="26" t="s">
        <v>398</v>
      </c>
    </row>
    <row r="54" spans="1:8" ht="25.5" hidden="1" x14ac:dyDescent="0.25">
      <c r="A54" s="26">
        <v>52</v>
      </c>
      <c r="B54" s="99" t="s">
        <v>55</v>
      </c>
      <c r="C54" s="112"/>
      <c r="D54" s="26" t="s">
        <v>13</v>
      </c>
      <c r="E54" s="37"/>
      <c r="F54" s="38"/>
      <c r="G54" s="38"/>
      <c r="H54" s="26" t="s">
        <v>398</v>
      </c>
    </row>
    <row r="55" spans="1:8" ht="25.5" x14ac:dyDescent="0.25">
      <c r="A55" s="40"/>
      <c r="B55" s="98"/>
      <c r="C55" s="107" t="s">
        <v>9</v>
      </c>
      <c r="D55" s="40"/>
      <c r="E55" s="41"/>
      <c r="F55" s="42"/>
      <c r="G55" s="42">
        <f>SUM(G3:G54)</f>
        <v>111311.14</v>
      </c>
      <c r="H55" s="42">
        <f>SUM(H3:H54)</f>
        <v>0</v>
      </c>
    </row>
    <row r="56" spans="1:8" ht="25.5" x14ac:dyDescent="0.25">
      <c r="A56" s="43">
        <v>2</v>
      </c>
      <c r="B56" s="91" t="s">
        <v>64</v>
      </c>
      <c r="C56" s="112" t="s">
        <v>297</v>
      </c>
      <c r="D56" s="26" t="s">
        <v>7</v>
      </c>
      <c r="E56" s="34">
        <v>20</v>
      </c>
      <c r="F56" s="35">
        <f>G56/E56</f>
        <v>122</v>
      </c>
      <c r="G56" s="35">
        <v>2440</v>
      </c>
      <c r="H56" s="35" t="s">
        <v>397</v>
      </c>
    </row>
    <row r="57" spans="1:8" ht="25.5" x14ac:dyDescent="0.25">
      <c r="A57" s="40"/>
      <c r="B57" s="98"/>
      <c r="C57" s="107" t="s">
        <v>9</v>
      </c>
      <c r="D57" s="40"/>
      <c r="E57" s="41"/>
      <c r="F57" s="42"/>
      <c r="G57" s="42">
        <f>SUM(G56)</f>
        <v>2440</v>
      </c>
      <c r="H57" s="40"/>
    </row>
    <row r="58" spans="1:8" ht="25.5" hidden="1" x14ac:dyDescent="0.25">
      <c r="A58" s="26">
        <v>1</v>
      </c>
      <c r="B58" s="99" t="s">
        <v>22</v>
      </c>
      <c r="C58" s="112"/>
      <c r="D58" s="26"/>
      <c r="E58" s="34"/>
      <c r="F58" s="35"/>
      <c r="G58" s="35"/>
      <c r="H58" s="35" t="s">
        <v>397</v>
      </c>
    </row>
    <row r="59" spans="1:8" ht="25.5" hidden="1" x14ac:dyDescent="0.25">
      <c r="A59" s="26">
        <v>2</v>
      </c>
      <c r="B59" s="99" t="s">
        <v>22</v>
      </c>
      <c r="C59" s="112"/>
      <c r="D59" s="26"/>
      <c r="E59" s="34"/>
      <c r="F59" s="35"/>
      <c r="G59" s="35"/>
      <c r="H59" s="35" t="s">
        <v>397</v>
      </c>
    </row>
    <row r="60" spans="1:8" ht="25.5" hidden="1" x14ac:dyDescent="0.25">
      <c r="A60" s="26">
        <v>3</v>
      </c>
      <c r="B60" s="99" t="s">
        <v>22</v>
      </c>
      <c r="C60" s="112"/>
      <c r="D60" s="26"/>
      <c r="E60" s="34"/>
      <c r="F60" s="35"/>
      <c r="G60" s="35"/>
      <c r="H60" s="35" t="s">
        <v>397</v>
      </c>
    </row>
    <row r="61" spans="1:8" ht="25.5" hidden="1" x14ac:dyDescent="0.25">
      <c r="A61" s="26">
        <v>4</v>
      </c>
      <c r="B61" s="99" t="s">
        <v>22</v>
      </c>
      <c r="C61" s="111"/>
      <c r="D61" s="43"/>
      <c r="E61" s="37"/>
      <c r="F61" s="38"/>
      <c r="G61" s="38"/>
      <c r="H61" s="35" t="s">
        <v>397</v>
      </c>
    </row>
    <row r="62" spans="1:8" ht="25.5" hidden="1" x14ac:dyDescent="0.25">
      <c r="A62" s="26">
        <v>5</v>
      </c>
      <c r="B62" s="99" t="s">
        <v>22</v>
      </c>
      <c r="C62" s="171"/>
      <c r="D62" s="43"/>
      <c r="E62" s="34"/>
      <c r="F62" s="35"/>
      <c r="G62" s="35"/>
      <c r="H62" s="35" t="s">
        <v>397</v>
      </c>
    </row>
    <row r="63" spans="1:8" ht="25.5" hidden="1" x14ac:dyDescent="0.25">
      <c r="A63" s="26">
        <v>6</v>
      </c>
      <c r="B63" s="99" t="s">
        <v>22</v>
      </c>
      <c r="C63" s="171"/>
      <c r="D63" s="43"/>
      <c r="E63" s="34"/>
      <c r="F63" s="35"/>
      <c r="G63" s="35"/>
      <c r="H63" s="35" t="s">
        <v>397</v>
      </c>
    </row>
    <row r="64" spans="1:8" ht="25.5" hidden="1" x14ac:dyDescent="0.25">
      <c r="A64" s="26">
        <v>7</v>
      </c>
      <c r="B64" s="99" t="s">
        <v>22</v>
      </c>
      <c r="C64" s="171"/>
      <c r="D64" s="43"/>
      <c r="E64" s="34"/>
      <c r="F64" s="35"/>
      <c r="G64" s="35"/>
      <c r="H64" s="35" t="s">
        <v>397</v>
      </c>
    </row>
    <row r="65" spans="1:8" ht="25.5" hidden="1" x14ac:dyDescent="0.25">
      <c r="A65" s="26">
        <v>8</v>
      </c>
      <c r="B65" s="99" t="s">
        <v>22</v>
      </c>
      <c r="C65" s="171"/>
      <c r="D65" s="43"/>
      <c r="E65" s="34"/>
      <c r="F65" s="35"/>
      <c r="G65" s="35"/>
      <c r="H65" s="35" t="s">
        <v>397</v>
      </c>
    </row>
    <row r="66" spans="1:8" ht="25.5" hidden="1" x14ac:dyDescent="0.25">
      <c r="A66" s="26">
        <v>9</v>
      </c>
      <c r="B66" s="99" t="s">
        <v>22</v>
      </c>
      <c r="C66" s="171"/>
      <c r="D66" s="43"/>
      <c r="E66" s="34"/>
      <c r="F66" s="35"/>
      <c r="G66" s="35"/>
      <c r="H66" s="35" t="s">
        <v>397</v>
      </c>
    </row>
    <row r="67" spans="1:8" ht="25.5" hidden="1" x14ac:dyDescent="0.25">
      <c r="A67" s="26">
        <v>10</v>
      </c>
      <c r="B67" s="99" t="s">
        <v>22</v>
      </c>
      <c r="C67" s="171"/>
      <c r="D67" s="43"/>
      <c r="E67" s="34"/>
      <c r="F67" s="35"/>
      <c r="G67" s="35"/>
      <c r="H67" s="35" t="s">
        <v>397</v>
      </c>
    </row>
    <row r="68" spans="1:8" ht="25.5" hidden="1" x14ac:dyDescent="0.25">
      <c r="A68" s="26">
        <v>11</v>
      </c>
      <c r="B68" s="99" t="s">
        <v>22</v>
      </c>
      <c r="C68" s="171"/>
      <c r="D68" s="43"/>
      <c r="E68" s="34"/>
      <c r="F68" s="35"/>
      <c r="G68" s="35"/>
      <c r="H68" s="35" t="s">
        <v>397</v>
      </c>
    </row>
    <row r="69" spans="1:8" ht="25.5" hidden="1" x14ac:dyDescent="0.25">
      <c r="A69" s="26">
        <v>12</v>
      </c>
      <c r="B69" s="99" t="s">
        <v>22</v>
      </c>
      <c r="C69" s="171"/>
      <c r="D69" s="43"/>
      <c r="E69" s="34"/>
      <c r="F69" s="35"/>
      <c r="G69" s="35"/>
      <c r="H69" s="35" t="s">
        <v>397</v>
      </c>
    </row>
    <row r="70" spans="1:8" ht="25.5" hidden="1" x14ac:dyDescent="0.25">
      <c r="A70" s="26">
        <v>13</v>
      </c>
      <c r="B70" s="99" t="s">
        <v>22</v>
      </c>
      <c r="C70" s="171"/>
      <c r="D70" s="43"/>
      <c r="E70" s="34"/>
      <c r="F70" s="35"/>
      <c r="G70" s="35"/>
      <c r="H70" s="35" t="s">
        <v>397</v>
      </c>
    </row>
    <row r="71" spans="1:8" ht="25.5" hidden="1" x14ac:dyDescent="0.25">
      <c r="A71" s="26">
        <v>14</v>
      </c>
      <c r="B71" s="99" t="s">
        <v>22</v>
      </c>
      <c r="C71" s="171"/>
      <c r="D71" s="43"/>
      <c r="E71" s="34"/>
      <c r="F71" s="35"/>
      <c r="G71" s="35"/>
      <c r="H71" s="35" t="s">
        <v>397</v>
      </c>
    </row>
    <row r="72" spans="1:8" ht="25.5" hidden="1" x14ac:dyDescent="0.25">
      <c r="A72" s="26">
        <v>15</v>
      </c>
      <c r="B72" s="99" t="s">
        <v>22</v>
      </c>
      <c r="C72" s="171"/>
      <c r="D72" s="43"/>
      <c r="E72" s="34"/>
      <c r="F72" s="35"/>
      <c r="G72" s="35"/>
      <c r="H72" s="35" t="s">
        <v>397</v>
      </c>
    </row>
    <row r="73" spans="1:8" ht="25.5" hidden="1" x14ac:dyDescent="0.25">
      <c r="A73" s="26">
        <v>16</v>
      </c>
      <c r="B73" s="99" t="s">
        <v>22</v>
      </c>
      <c r="C73" s="112"/>
      <c r="D73" s="26"/>
      <c r="E73" s="34"/>
      <c r="F73" s="35"/>
      <c r="G73" s="35"/>
      <c r="H73" s="35" t="s">
        <v>397</v>
      </c>
    </row>
    <row r="74" spans="1:8" ht="25.5" hidden="1" x14ac:dyDescent="0.25">
      <c r="A74" s="26">
        <v>17</v>
      </c>
      <c r="B74" s="99" t="s">
        <v>22</v>
      </c>
      <c r="C74" s="112"/>
      <c r="D74" s="26"/>
      <c r="E74" s="34"/>
      <c r="F74" s="35"/>
      <c r="G74" s="35"/>
      <c r="H74" s="35" t="s">
        <v>397</v>
      </c>
    </row>
    <row r="75" spans="1:8" ht="25.5" hidden="1" x14ac:dyDescent="0.25">
      <c r="A75" s="26">
        <v>8</v>
      </c>
      <c r="B75" s="99" t="s">
        <v>22</v>
      </c>
      <c r="C75" s="112"/>
      <c r="D75" s="26"/>
      <c r="E75" s="34"/>
      <c r="F75" s="35"/>
      <c r="G75" s="35"/>
      <c r="H75" s="35"/>
    </row>
    <row r="76" spans="1:8" ht="25.5" hidden="1" x14ac:dyDescent="0.25">
      <c r="A76" s="26">
        <v>9</v>
      </c>
      <c r="B76" s="99" t="s">
        <v>22</v>
      </c>
      <c r="C76" s="112"/>
      <c r="D76" s="26"/>
      <c r="E76" s="34"/>
      <c r="F76" s="35"/>
      <c r="G76" s="35"/>
      <c r="H76" s="35"/>
    </row>
    <row r="77" spans="1:8" ht="25.5" hidden="1" x14ac:dyDescent="0.25">
      <c r="A77" s="26">
        <v>10</v>
      </c>
      <c r="B77" s="99" t="s">
        <v>22</v>
      </c>
      <c r="C77" s="112"/>
      <c r="D77" s="26"/>
      <c r="E77" s="34"/>
      <c r="F77" s="35"/>
      <c r="G77" s="35"/>
      <c r="H77" s="35"/>
    </row>
    <row r="78" spans="1:8" ht="25.5" hidden="1" x14ac:dyDescent="0.25">
      <c r="A78" s="40"/>
      <c r="B78" s="98"/>
      <c r="C78" s="107" t="s">
        <v>9</v>
      </c>
      <c r="D78" s="40"/>
      <c r="E78" s="41"/>
      <c r="F78" s="42"/>
      <c r="G78" s="42">
        <f>SUM(G58:G77)</f>
        <v>0</v>
      </c>
      <c r="H78" s="42">
        <f>SUM(H58:H77)</f>
        <v>0</v>
      </c>
    </row>
    <row r="79" spans="1:8" ht="15" customHeight="1" x14ac:dyDescent="0.25">
      <c r="A79" s="64">
        <v>3</v>
      </c>
      <c r="B79" s="106" t="s">
        <v>88</v>
      </c>
      <c r="C79" s="112" t="s">
        <v>434</v>
      </c>
      <c r="D79" s="26" t="s">
        <v>7</v>
      </c>
      <c r="E79" s="34">
        <v>1</v>
      </c>
      <c r="F79" s="35">
        <v>750</v>
      </c>
      <c r="G79" s="35">
        <v>750</v>
      </c>
      <c r="H79" s="35" t="s">
        <v>397</v>
      </c>
    </row>
    <row r="80" spans="1:8" ht="25.5" x14ac:dyDescent="0.25">
      <c r="A80" s="40"/>
      <c r="B80" s="98"/>
      <c r="C80" s="107" t="s">
        <v>9</v>
      </c>
      <c r="D80" s="40"/>
      <c r="E80" s="41"/>
      <c r="F80" s="42"/>
      <c r="G80" s="42">
        <f>SUM(G79:G79)</f>
        <v>750</v>
      </c>
      <c r="H80" s="40"/>
    </row>
    <row r="81" spans="1:8" ht="25.5" hidden="1" x14ac:dyDescent="0.25">
      <c r="A81" s="43">
        <v>1</v>
      </c>
      <c r="B81" s="91" t="s">
        <v>25</v>
      </c>
      <c r="C81" s="112"/>
      <c r="D81" s="26"/>
      <c r="E81" s="34"/>
      <c r="F81" s="35"/>
      <c r="G81" s="35"/>
      <c r="H81" s="35" t="s">
        <v>397</v>
      </c>
    </row>
    <row r="82" spans="1:8" ht="25.5" hidden="1" x14ac:dyDescent="0.25">
      <c r="A82" s="40"/>
      <c r="B82" s="98"/>
      <c r="C82" s="107" t="s">
        <v>9</v>
      </c>
      <c r="D82" s="40"/>
      <c r="E82" s="41"/>
      <c r="F82" s="42"/>
      <c r="G82" s="42">
        <f>SUM(G81)</f>
        <v>0</v>
      </c>
      <c r="H82" s="40"/>
    </row>
    <row r="83" spans="1:8" ht="15" customHeight="1" x14ac:dyDescent="0.25">
      <c r="A83" s="104">
        <v>4</v>
      </c>
      <c r="B83" s="105" t="s">
        <v>26</v>
      </c>
      <c r="C83" s="112" t="s">
        <v>297</v>
      </c>
      <c r="D83" s="26" t="s">
        <v>7</v>
      </c>
      <c r="E83" s="34">
        <v>100</v>
      </c>
      <c r="F83" s="35">
        <f>G83/E83</f>
        <v>122</v>
      </c>
      <c r="G83" s="35">
        <v>12200</v>
      </c>
      <c r="H83" s="35" t="s">
        <v>397</v>
      </c>
    </row>
    <row r="84" spans="1:8" ht="25.5" x14ac:dyDescent="0.25">
      <c r="A84" s="40"/>
      <c r="B84" s="98"/>
      <c r="C84" s="107" t="s">
        <v>9</v>
      </c>
      <c r="D84" s="40"/>
      <c r="E84" s="41"/>
      <c r="F84" s="42"/>
      <c r="G84" s="42">
        <f>SUM(G83:G83)</f>
        <v>12200</v>
      </c>
      <c r="H84" s="40">
        <f>SUM(H83:H83)</f>
        <v>0</v>
      </c>
    </row>
    <row r="85" spans="1:8" ht="25.5" x14ac:dyDescent="0.25">
      <c r="A85" s="43">
        <v>5</v>
      </c>
      <c r="B85" s="91" t="s">
        <v>45</v>
      </c>
      <c r="C85" s="112" t="s">
        <v>435</v>
      </c>
      <c r="D85" s="26" t="s">
        <v>436</v>
      </c>
      <c r="E85" s="34"/>
      <c r="F85" s="35"/>
      <c r="G85" s="35">
        <v>26507</v>
      </c>
      <c r="H85" s="35" t="s">
        <v>397</v>
      </c>
    </row>
    <row r="86" spans="1:8" ht="25.5" hidden="1" x14ac:dyDescent="0.25">
      <c r="A86" s="43">
        <v>2</v>
      </c>
      <c r="B86" s="91" t="s">
        <v>45</v>
      </c>
      <c r="C86" s="112"/>
      <c r="D86" s="26"/>
      <c r="E86" s="34"/>
      <c r="F86" s="35"/>
      <c r="G86" s="35"/>
      <c r="H86" s="35" t="s">
        <v>397</v>
      </c>
    </row>
    <row r="87" spans="1:8" ht="25.5" hidden="1" x14ac:dyDescent="0.25">
      <c r="A87" s="43">
        <v>3</v>
      </c>
      <c r="B87" s="91" t="s">
        <v>45</v>
      </c>
      <c r="C87" s="111"/>
      <c r="D87" s="43"/>
      <c r="E87" s="37"/>
      <c r="F87" s="38"/>
      <c r="G87" s="38"/>
      <c r="H87" s="35" t="s">
        <v>397</v>
      </c>
    </row>
    <row r="88" spans="1:8" ht="25.5" hidden="1" x14ac:dyDescent="0.25">
      <c r="A88" s="43">
        <v>4</v>
      </c>
      <c r="B88" s="91" t="s">
        <v>45</v>
      </c>
      <c r="C88" s="171"/>
      <c r="D88" s="43"/>
      <c r="E88" s="34"/>
      <c r="F88" s="35"/>
      <c r="G88" s="35"/>
      <c r="H88" s="35" t="s">
        <v>397</v>
      </c>
    </row>
    <row r="89" spans="1:8" ht="25.5" hidden="1" x14ac:dyDescent="0.25">
      <c r="A89" s="43">
        <v>5</v>
      </c>
      <c r="B89" s="91" t="s">
        <v>45</v>
      </c>
      <c r="C89" s="171"/>
      <c r="D89" s="43"/>
      <c r="E89" s="34"/>
      <c r="F89" s="35"/>
      <c r="G89" s="35"/>
      <c r="H89" s="35" t="s">
        <v>397</v>
      </c>
    </row>
    <row r="90" spans="1:8" ht="25.5" hidden="1" x14ac:dyDescent="0.25">
      <c r="A90" s="43">
        <v>7</v>
      </c>
      <c r="B90" s="91" t="s">
        <v>45</v>
      </c>
      <c r="C90" s="171"/>
      <c r="D90" s="43"/>
      <c r="E90" s="34"/>
      <c r="F90" s="35"/>
      <c r="G90" s="35"/>
      <c r="H90" s="35" t="s">
        <v>397</v>
      </c>
    </row>
    <row r="91" spans="1:8" ht="25.5" hidden="1" x14ac:dyDescent="0.25">
      <c r="A91" s="43">
        <v>8</v>
      </c>
      <c r="B91" s="91" t="s">
        <v>45</v>
      </c>
      <c r="C91" s="171"/>
      <c r="D91" s="43"/>
      <c r="E91" s="34"/>
      <c r="F91" s="35"/>
      <c r="G91" s="35"/>
      <c r="H91" s="35" t="s">
        <v>397</v>
      </c>
    </row>
    <row r="92" spans="1:8" ht="25.5" hidden="1" x14ac:dyDescent="0.25">
      <c r="A92" s="43">
        <v>9</v>
      </c>
      <c r="B92" s="91" t="s">
        <v>45</v>
      </c>
      <c r="C92" s="171"/>
      <c r="D92" s="43"/>
      <c r="E92" s="34"/>
      <c r="F92" s="35"/>
      <c r="G92" s="35"/>
      <c r="H92" s="35" t="s">
        <v>397</v>
      </c>
    </row>
    <row r="93" spans="1:8" ht="25.5" hidden="1" x14ac:dyDescent="0.25">
      <c r="A93" s="43">
        <v>10</v>
      </c>
      <c r="B93" s="91" t="s">
        <v>45</v>
      </c>
      <c r="C93" s="171"/>
      <c r="D93" s="43"/>
      <c r="E93" s="34"/>
      <c r="F93" s="35"/>
      <c r="G93" s="35"/>
      <c r="H93" s="35" t="s">
        <v>397</v>
      </c>
    </row>
    <row r="94" spans="1:8" ht="25.5" hidden="1" x14ac:dyDescent="0.25">
      <c r="A94" s="43">
        <v>11</v>
      </c>
      <c r="B94" s="91" t="s">
        <v>45</v>
      </c>
      <c r="C94" s="171"/>
      <c r="D94" s="43"/>
      <c r="E94" s="34"/>
      <c r="F94" s="35"/>
      <c r="G94" s="35"/>
      <c r="H94" s="35" t="s">
        <v>397</v>
      </c>
    </row>
    <row r="95" spans="1:8" ht="25.5" hidden="1" x14ac:dyDescent="0.25">
      <c r="A95" s="43">
        <v>12</v>
      </c>
      <c r="B95" s="91" t="s">
        <v>45</v>
      </c>
      <c r="C95" s="171"/>
      <c r="D95" s="43"/>
      <c r="E95" s="34"/>
      <c r="F95" s="35"/>
      <c r="G95" s="35"/>
      <c r="H95" s="35" t="s">
        <v>397</v>
      </c>
    </row>
    <row r="96" spans="1:8" ht="25.5" hidden="1" x14ac:dyDescent="0.25">
      <c r="A96" s="43">
        <v>13</v>
      </c>
      <c r="B96" s="91" t="s">
        <v>45</v>
      </c>
      <c r="C96" s="171"/>
      <c r="D96" s="43"/>
      <c r="E96" s="34"/>
      <c r="F96" s="35"/>
      <c r="G96" s="35"/>
      <c r="H96" s="35" t="s">
        <v>397</v>
      </c>
    </row>
    <row r="97" spans="1:8" ht="25.5" hidden="1" x14ac:dyDescent="0.25">
      <c r="A97" s="43">
        <v>14</v>
      </c>
      <c r="B97" s="91" t="s">
        <v>45</v>
      </c>
      <c r="C97" s="171"/>
      <c r="D97" s="43"/>
      <c r="E97" s="34"/>
      <c r="F97" s="35"/>
      <c r="G97" s="35"/>
      <c r="H97" s="35" t="s">
        <v>397</v>
      </c>
    </row>
    <row r="98" spans="1:8" ht="25.5" x14ac:dyDescent="0.25">
      <c r="A98" s="40"/>
      <c r="B98" s="98"/>
      <c r="C98" s="107" t="s">
        <v>9</v>
      </c>
      <c r="D98" s="40"/>
      <c r="E98" s="41"/>
      <c r="F98" s="42"/>
      <c r="G98" s="42">
        <f>SUM(G85:G97)</f>
        <v>26507</v>
      </c>
      <c r="H98" s="40">
        <f>SUM(H85:H97)</f>
        <v>0</v>
      </c>
    </row>
    <row r="99" spans="1:8" ht="25.5" hidden="1" x14ac:dyDescent="0.25">
      <c r="A99" s="26">
        <v>1</v>
      </c>
      <c r="B99" s="99" t="s">
        <v>27</v>
      </c>
      <c r="C99" s="112"/>
      <c r="D99" s="26"/>
      <c r="E99" s="34"/>
      <c r="F99" s="35"/>
      <c r="G99" s="35"/>
      <c r="H99" s="35" t="s">
        <v>397</v>
      </c>
    </row>
    <row r="100" spans="1:8" ht="25.5" hidden="1" x14ac:dyDescent="0.25">
      <c r="A100" s="26">
        <v>2</v>
      </c>
      <c r="B100" s="99" t="s">
        <v>27</v>
      </c>
      <c r="C100" s="112"/>
      <c r="D100" s="26"/>
      <c r="E100" s="34"/>
      <c r="F100" s="35"/>
      <c r="G100" s="35"/>
      <c r="H100" s="35" t="s">
        <v>397</v>
      </c>
    </row>
    <row r="101" spans="1:8" ht="25.5" hidden="1" x14ac:dyDescent="0.25">
      <c r="A101" s="40"/>
      <c r="B101" s="98"/>
      <c r="C101" s="107" t="s">
        <v>9</v>
      </c>
      <c r="D101" s="40"/>
      <c r="E101" s="41"/>
      <c r="F101" s="42"/>
      <c r="G101" s="42">
        <f>SUM(G99:G100)</f>
        <v>0</v>
      </c>
      <c r="H101" s="40">
        <f>SUM(H99:H100)</f>
        <v>0</v>
      </c>
    </row>
    <row r="102" spans="1:8" ht="25.5" hidden="1" x14ac:dyDescent="0.25">
      <c r="A102" s="40"/>
      <c r="B102" s="98"/>
      <c r="C102" s="112"/>
      <c r="D102" s="26"/>
      <c r="E102" s="34"/>
      <c r="F102" s="35"/>
      <c r="G102" s="35"/>
      <c r="H102" s="35" t="s">
        <v>397</v>
      </c>
    </row>
    <row r="103" spans="1:8" ht="25.5" hidden="1" x14ac:dyDescent="0.25">
      <c r="A103" s="43">
        <v>1</v>
      </c>
      <c r="B103" s="91" t="s">
        <v>29</v>
      </c>
      <c r="C103" s="112"/>
      <c r="D103" s="26"/>
      <c r="E103" s="34"/>
      <c r="F103" s="35"/>
      <c r="G103" s="35"/>
      <c r="H103" s="35" t="s">
        <v>397</v>
      </c>
    </row>
    <row r="104" spans="1:8" ht="25.5" hidden="1" x14ac:dyDescent="0.25">
      <c r="A104" s="43"/>
      <c r="B104" s="91"/>
      <c r="C104" s="112"/>
      <c r="D104" s="26"/>
      <c r="E104" s="34"/>
      <c r="F104" s="35"/>
      <c r="G104" s="35"/>
      <c r="H104" s="35" t="s">
        <v>397</v>
      </c>
    </row>
    <row r="105" spans="1:8" ht="25.5" hidden="1" x14ac:dyDescent="0.25">
      <c r="A105" s="40"/>
      <c r="B105" s="98"/>
      <c r="C105" s="107" t="s">
        <v>9</v>
      </c>
      <c r="D105" s="40"/>
      <c r="E105" s="41"/>
      <c r="F105" s="42"/>
      <c r="G105" s="42">
        <f>SUM(G102:G104)</f>
        <v>0</v>
      </c>
      <c r="H105" s="40"/>
    </row>
    <row r="106" spans="1:8" ht="25.5" x14ac:dyDescent="0.25">
      <c r="A106" s="43">
        <v>6</v>
      </c>
      <c r="B106" s="91" t="s">
        <v>32</v>
      </c>
      <c r="C106" s="112" t="s">
        <v>297</v>
      </c>
      <c r="D106" s="26" t="s">
        <v>7</v>
      </c>
      <c r="E106" s="34">
        <v>23</v>
      </c>
      <c r="F106" s="35">
        <f>G106/E106</f>
        <v>122</v>
      </c>
      <c r="G106" s="35">
        <v>2806</v>
      </c>
      <c r="H106" s="35" t="s">
        <v>397</v>
      </c>
    </row>
    <row r="107" spans="1:8" ht="25.5" hidden="1" x14ac:dyDescent="0.25">
      <c r="A107" s="43"/>
      <c r="B107" s="91"/>
      <c r="C107" s="112"/>
      <c r="D107" s="26"/>
      <c r="E107" s="34"/>
      <c r="F107" s="35"/>
      <c r="G107" s="35"/>
      <c r="H107" s="35" t="s">
        <v>397</v>
      </c>
    </row>
    <row r="108" spans="1:8" ht="25.5" hidden="1" x14ac:dyDescent="0.25">
      <c r="A108" s="43"/>
      <c r="B108" s="91"/>
      <c r="C108" s="112"/>
      <c r="D108" s="26"/>
      <c r="E108" s="34"/>
      <c r="F108" s="35"/>
      <c r="G108" s="35"/>
      <c r="H108" s="35" t="s">
        <v>397</v>
      </c>
    </row>
    <row r="109" spans="1:8" ht="25.5" x14ac:dyDescent="0.25">
      <c r="A109" s="40"/>
      <c r="B109" s="98"/>
      <c r="C109" s="107" t="s">
        <v>9</v>
      </c>
      <c r="D109" s="40"/>
      <c r="E109" s="41"/>
      <c r="F109" s="42"/>
      <c r="G109" s="42">
        <f>SUM(G106:G108)</f>
        <v>2806</v>
      </c>
      <c r="H109" s="40"/>
    </row>
    <row r="110" spans="1:8" ht="25.5" hidden="1" x14ac:dyDescent="0.25">
      <c r="A110" s="43">
        <v>1</v>
      </c>
      <c r="B110" s="91" t="s">
        <v>69</v>
      </c>
      <c r="C110" s="112"/>
      <c r="D110" s="26"/>
      <c r="E110" s="34"/>
      <c r="F110" s="35"/>
      <c r="G110" s="35"/>
      <c r="H110" s="35" t="s">
        <v>397</v>
      </c>
    </row>
    <row r="111" spans="1:8" ht="25.5" hidden="1" x14ac:dyDescent="0.25">
      <c r="A111" s="43"/>
      <c r="B111" s="91"/>
      <c r="C111" s="112"/>
      <c r="D111" s="26"/>
      <c r="E111" s="34"/>
      <c r="F111" s="35"/>
      <c r="G111" s="35"/>
      <c r="H111" s="35" t="s">
        <v>397</v>
      </c>
    </row>
    <row r="112" spans="1:8" ht="25.5" hidden="1" x14ac:dyDescent="0.25">
      <c r="A112" s="43"/>
      <c r="B112" s="91"/>
      <c r="C112" s="112"/>
      <c r="D112" s="26"/>
      <c r="E112" s="34"/>
      <c r="F112" s="35"/>
      <c r="G112" s="35"/>
      <c r="H112" s="35" t="s">
        <v>397</v>
      </c>
    </row>
    <row r="113" spans="1:8" ht="25.5" hidden="1" x14ac:dyDescent="0.25">
      <c r="A113" s="40"/>
      <c r="B113" s="98"/>
      <c r="C113" s="107" t="s">
        <v>9</v>
      </c>
      <c r="D113" s="40"/>
      <c r="E113" s="41"/>
      <c r="F113" s="42"/>
      <c r="G113" s="42">
        <f>SUM(G110:G112)</f>
        <v>0</v>
      </c>
      <c r="H113" s="40"/>
    </row>
    <row r="114" spans="1:8" x14ac:dyDescent="0.25">
      <c r="A114" s="82">
        <v>7</v>
      </c>
      <c r="B114" s="88" t="s">
        <v>91</v>
      </c>
      <c r="C114" s="112" t="s">
        <v>297</v>
      </c>
      <c r="D114" s="26" t="s">
        <v>7</v>
      </c>
      <c r="E114" s="34">
        <v>50</v>
      </c>
      <c r="F114" s="35">
        <f>G114/E114</f>
        <v>122</v>
      </c>
      <c r="G114" s="35">
        <v>6100</v>
      </c>
      <c r="H114" s="26" t="s">
        <v>398</v>
      </c>
    </row>
    <row r="115" spans="1:8" x14ac:dyDescent="0.25">
      <c r="A115" s="87"/>
      <c r="B115" s="89"/>
      <c r="C115" s="112" t="s">
        <v>425</v>
      </c>
      <c r="D115" s="26" t="s">
        <v>7</v>
      </c>
      <c r="E115" s="34">
        <v>1</v>
      </c>
      <c r="F115" s="35">
        <f t="shared" ref="F115:F117" si="0">G115/E115</f>
        <v>17899</v>
      </c>
      <c r="G115" s="35">
        <f>17670+229</f>
        <v>17899</v>
      </c>
      <c r="H115" s="26"/>
    </row>
    <row r="116" spans="1:8" x14ac:dyDescent="0.25">
      <c r="A116" s="87"/>
      <c r="B116" s="89"/>
      <c r="C116" s="112" t="s">
        <v>426</v>
      </c>
      <c r="D116" s="26" t="s">
        <v>7</v>
      </c>
      <c r="E116" s="34">
        <v>1</v>
      </c>
      <c r="F116" s="35">
        <f t="shared" si="0"/>
        <v>12103.98</v>
      </c>
      <c r="G116" s="35">
        <f>105+11998.98</f>
        <v>12103.98</v>
      </c>
      <c r="H116" s="26"/>
    </row>
    <row r="117" spans="1:8" x14ac:dyDescent="0.25">
      <c r="A117" s="83"/>
      <c r="B117" s="90"/>
      <c r="C117" s="112" t="s">
        <v>427</v>
      </c>
      <c r="D117" s="26" t="s">
        <v>7</v>
      </c>
      <c r="E117" s="34">
        <v>1</v>
      </c>
      <c r="F117" s="35">
        <f t="shared" si="0"/>
        <v>4509</v>
      </c>
      <c r="G117" s="35">
        <v>4509</v>
      </c>
      <c r="H117" s="26"/>
    </row>
    <row r="118" spans="1:8" ht="25.5" hidden="1" x14ac:dyDescent="0.25">
      <c r="A118" s="26"/>
      <c r="B118" s="99"/>
      <c r="C118" s="112"/>
      <c r="D118" s="26"/>
      <c r="E118" s="34"/>
      <c r="F118" s="35"/>
      <c r="G118" s="35"/>
      <c r="H118" s="26"/>
    </row>
    <row r="119" spans="1:8" ht="25.5" hidden="1" x14ac:dyDescent="0.25">
      <c r="A119" s="26"/>
      <c r="B119" s="99"/>
      <c r="C119" s="112"/>
      <c r="D119" s="26"/>
      <c r="E119" s="34"/>
      <c r="F119" s="35"/>
      <c r="G119" s="35"/>
      <c r="H119" s="26"/>
    </row>
    <row r="120" spans="1:8" ht="25.5" hidden="1" x14ac:dyDescent="0.25">
      <c r="A120" s="26"/>
      <c r="B120" s="99"/>
      <c r="C120" s="112"/>
      <c r="D120" s="26"/>
      <c r="E120" s="34"/>
      <c r="F120" s="35"/>
      <c r="G120" s="35"/>
      <c r="H120" s="26"/>
    </row>
    <row r="121" spans="1:8" ht="25.5" hidden="1" x14ac:dyDescent="0.25">
      <c r="A121" s="26"/>
      <c r="B121" s="99"/>
      <c r="C121" s="112"/>
      <c r="D121" s="26"/>
      <c r="E121" s="34"/>
      <c r="F121" s="35"/>
      <c r="G121" s="35"/>
      <c r="H121" s="26"/>
    </row>
    <row r="122" spans="1:8" ht="25.5" hidden="1" x14ac:dyDescent="0.25">
      <c r="A122" s="26"/>
      <c r="B122" s="99"/>
      <c r="C122" s="112"/>
      <c r="D122" s="26"/>
      <c r="E122" s="34"/>
      <c r="F122" s="35"/>
      <c r="G122" s="35"/>
      <c r="H122" s="26"/>
    </row>
    <row r="123" spans="1:8" ht="25.5" x14ac:dyDescent="0.25">
      <c r="A123" s="40"/>
      <c r="B123" s="98"/>
      <c r="C123" s="107" t="s">
        <v>9</v>
      </c>
      <c r="D123" s="40"/>
      <c r="E123" s="41"/>
      <c r="F123" s="42"/>
      <c r="G123" s="42">
        <f>SUM(G114:G122)</f>
        <v>40611.979999999996</v>
      </c>
      <c r="H123" s="40">
        <f>SUM(H114:H114)</f>
        <v>0</v>
      </c>
    </row>
    <row r="124" spans="1:8" ht="25.5" hidden="1" x14ac:dyDescent="0.25">
      <c r="A124" s="43">
        <v>1</v>
      </c>
      <c r="B124" s="91" t="s">
        <v>35</v>
      </c>
      <c r="C124" s="112"/>
      <c r="D124" s="26"/>
      <c r="E124" s="34"/>
      <c r="F124" s="35"/>
      <c r="G124" s="35"/>
      <c r="H124" s="35" t="s">
        <v>397</v>
      </c>
    </row>
    <row r="125" spans="1:8" ht="25.5" hidden="1" x14ac:dyDescent="0.25">
      <c r="A125" s="43"/>
      <c r="B125" s="91"/>
      <c r="C125" s="112"/>
      <c r="D125" s="26"/>
      <c r="E125" s="34"/>
      <c r="F125" s="35"/>
      <c r="G125" s="35"/>
      <c r="H125" s="35" t="s">
        <v>397</v>
      </c>
    </row>
    <row r="126" spans="1:8" ht="25.5" hidden="1" x14ac:dyDescent="0.25">
      <c r="A126" s="43"/>
      <c r="B126" s="91"/>
      <c r="C126" s="112"/>
      <c r="D126" s="26"/>
      <c r="E126" s="34"/>
      <c r="F126" s="35"/>
      <c r="G126" s="35"/>
      <c r="H126" s="35" t="s">
        <v>397</v>
      </c>
    </row>
    <row r="127" spans="1:8" ht="25.5" hidden="1" x14ac:dyDescent="0.25">
      <c r="A127" s="40"/>
      <c r="B127" s="98"/>
      <c r="C127" s="107" t="s">
        <v>9</v>
      </c>
      <c r="D127" s="40"/>
      <c r="E127" s="41"/>
      <c r="F127" s="42"/>
      <c r="G127" s="42">
        <f>SUM(G124:G126)</f>
        <v>0</v>
      </c>
      <c r="H127" s="40"/>
    </row>
    <row r="128" spans="1:8" x14ac:dyDescent="0.25">
      <c r="A128" s="82">
        <v>8</v>
      </c>
      <c r="B128" s="88" t="s">
        <v>72</v>
      </c>
      <c r="C128" s="112" t="s">
        <v>297</v>
      </c>
      <c r="D128" s="26" t="s">
        <v>7</v>
      </c>
      <c r="E128" s="34">
        <v>80</v>
      </c>
      <c r="F128" s="35">
        <f>G128/E128</f>
        <v>122</v>
      </c>
      <c r="G128" s="35">
        <v>9760</v>
      </c>
      <c r="H128" s="35" t="s">
        <v>397</v>
      </c>
    </row>
    <row r="129" spans="1:8" x14ac:dyDescent="0.25">
      <c r="A129" s="87"/>
      <c r="B129" s="89"/>
      <c r="C129" s="112" t="s">
        <v>437</v>
      </c>
      <c r="D129" s="26" t="s">
        <v>7</v>
      </c>
      <c r="E129" s="34">
        <v>1</v>
      </c>
      <c r="F129" s="35">
        <f t="shared" ref="F129:F130" si="1">G129/E129</f>
        <v>5000</v>
      </c>
      <c r="G129" s="35">
        <v>5000</v>
      </c>
      <c r="H129" s="35" t="s">
        <v>397</v>
      </c>
    </row>
    <row r="130" spans="1:8" x14ac:dyDescent="0.25">
      <c r="A130" s="83"/>
      <c r="B130" s="90"/>
      <c r="C130" s="112" t="s">
        <v>438</v>
      </c>
      <c r="D130" s="26" t="s">
        <v>7</v>
      </c>
      <c r="E130" s="34">
        <v>2</v>
      </c>
      <c r="F130" s="35">
        <f t="shared" si="1"/>
        <v>3600</v>
      </c>
      <c r="G130" s="35">
        <f>5000+2200</f>
        <v>7200</v>
      </c>
      <c r="H130" s="35" t="s">
        <v>397</v>
      </c>
    </row>
    <row r="131" spans="1:8" ht="25.5" hidden="1" x14ac:dyDescent="0.25">
      <c r="A131" s="26">
        <v>4</v>
      </c>
      <c r="B131" s="99" t="s">
        <v>72</v>
      </c>
      <c r="C131" s="112"/>
      <c r="D131" s="26"/>
      <c r="E131" s="34"/>
      <c r="F131" s="35"/>
      <c r="G131" s="35"/>
      <c r="H131" s="35" t="s">
        <v>397</v>
      </c>
    </row>
    <row r="132" spans="1:8" ht="25.5" x14ac:dyDescent="0.25">
      <c r="A132" s="40"/>
      <c r="B132" s="98"/>
      <c r="C132" s="107" t="s">
        <v>9</v>
      </c>
      <c r="D132" s="40"/>
      <c r="E132" s="41"/>
      <c r="F132" s="42"/>
      <c r="G132" s="42">
        <f>SUM(G128:G131)</f>
        <v>21960</v>
      </c>
      <c r="H132" s="40">
        <f>SUM(H128:H131)</f>
        <v>0</v>
      </c>
    </row>
    <row r="133" spans="1:8" ht="25.5" hidden="1" x14ac:dyDescent="0.25">
      <c r="A133" s="43">
        <v>1</v>
      </c>
      <c r="B133" s="91" t="s">
        <v>37</v>
      </c>
      <c r="C133" s="112"/>
      <c r="D133" s="26"/>
      <c r="E133" s="34"/>
      <c r="F133" s="35"/>
      <c r="G133" s="35"/>
      <c r="H133" s="35" t="s">
        <v>397</v>
      </c>
    </row>
    <row r="134" spans="1:8" ht="25.5" hidden="1" x14ac:dyDescent="0.25">
      <c r="A134" s="40"/>
      <c r="B134" s="98"/>
      <c r="C134" s="107" t="s">
        <v>9</v>
      </c>
      <c r="D134" s="40"/>
      <c r="E134" s="41"/>
      <c r="F134" s="42"/>
      <c r="G134" s="42">
        <f>SUM(G133:G133)</f>
        <v>0</v>
      </c>
      <c r="H134" s="40">
        <f>SUM(H133:H133)</f>
        <v>0</v>
      </c>
    </row>
    <row r="135" spans="1:8" ht="25.5" x14ac:dyDescent="0.25">
      <c r="A135" s="26">
        <v>9</v>
      </c>
      <c r="B135" s="99" t="s">
        <v>61</v>
      </c>
      <c r="C135" s="112" t="s">
        <v>428</v>
      </c>
      <c r="D135" s="26" t="s">
        <v>7</v>
      </c>
      <c r="E135" s="34">
        <v>30</v>
      </c>
      <c r="F135" s="35">
        <f>G135/E135</f>
        <v>18031</v>
      </c>
      <c r="G135" s="35">
        <v>540930</v>
      </c>
      <c r="H135" s="35" t="s">
        <v>397</v>
      </c>
    </row>
    <row r="136" spans="1:8" ht="25.5" hidden="1" x14ac:dyDescent="0.25">
      <c r="A136" s="26">
        <v>2</v>
      </c>
      <c r="B136" s="99" t="s">
        <v>61</v>
      </c>
      <c r="C136" s="112"/>
      <c r="D136" s="26"/>
      <c r="E136" s="41"/>
      <c r="F136" s="35"/>
      <c r="G136" s="42"/>
      <c r="H136" s="35" t="s">
        <v>398</v>
      </c>
    </row>
    <row r="137" spans="1:8" ht="25.5" hidden="1" x14ac:dyDescent="0.25">
      <c r="A137" s="26">
        <v>3</v>
      </c>
      <c r="B137" s="99" t="s">
        <v>61</v>
      </c>
      <c r="C137" s="112"/>
      <c r="D137" s="26"/>
      <c r="E137" s="41"/>
      <c r="F137" s="35"/>
      <c r="G137" s="42"/>
      <c r="H137" s="35" t="s">
        <v>398</v>
      </c>
    </row>
    <row r="138" spans="1:8" ht="25.5" hidden="1" x14ac:dyDescent="0.25">
      <c r="A138" s="26">
        <v>4</v>
      </c>
      <c r="B138" s="99" t="s">
        <v>61</v>
      </c>
      <c r="C138" s="112"/>
      <c r="D138" s="26"/>
      <c r="E138" s="41"/>
      <c r="F138" s="35"/>
      <c r="G138" s="42"/>
      <c r="H138" s="35" t="s">
        <v>398</v>
      </c>
    </row>
    <row r="139" spans="1:8" ht="25.5" hidden="1" x14ac:dyDescent="0.25">
      <c r="A139" s="26">
        <v>5</v>
      </c>
      <c r="B139" s="99" t="s">
        <v>61</v>
      </c>
      <c r="C139" s="112"/>
      <c r="D139" s="26"/>
      <c r="E139" s="41"/>
      <c r="F139" s="35"/>
      <c r="G139" s="42"/>
      <c r="H139" s="35" t="s">
        <v>398</v>
      </c>
    </row>
    <row r="140" spans="1:8" ht="25.5" hidden="1" x14ac:dyDescent="0.25">
      <c r="A140" s="26">
        <v>6</v>
      </c>
      <c r="B140" s="99" t="s">
        <v>61</v>
      </c>
      <c r="C140" s="112"/>
      <c r="D140" s="26"/>
      <c r="E140" s="41"/>
      <c r="F140" s="35"/>
      <c r="G140" s="42"/>
      <c r="H140" s="35" t="s">
        <v>398</v>
      </c>
    </row>
    <row r="141" spans="1:8" ht="25.5" hidden="1" x14ac:dyDescent="0.25">
      <c r="A141" s="26">
        <v>7</v>
      </c>
      <c r="B141" s="99" t="s">
        <v>61</v>
      </c>
      <c r="C141" s="112"/>
      <c r="D141" s="26"/>
      <c r="E141" s="41"/>
      <c r="F141" s="35"/>
      <c r="G141" s="42"/>
      <c r="H141" s="35" t="s">
        <v>398</v>
      </c>
    </row>
    <row r="142" spans="1:8" ht="25.5" hidden="1" x14ac:dyDescent="0.25">
      <c r="A142" s="26">
        <v>8</v>
      </c>
      <c r="B142" s="99" t="s">
        <v>61</v>
      </c>
      <c r="C142" s="112"/>
      <c r="D142" s="26"/>
      <c r="E142" s="41"/>
      <c r="F142" s="35"/>
      <c r="G142" s="42"/>
      <c r="H142" s="35" t="s">
        <v>398</v>
      </c>
    </row>
    <row r="143" spans="1:8" ht="25.5" hidden="1" x14ac:dyDescent="0.25">
      <c r="A143" s="26">
        <v>9</v>
      </c>
      <c r="B143" s="99" t="s">
        <v>61</v>
      </c>
      <c r="C143" s="112"/>
      <c r="D143" s="26"/>
      <c r="E143" s="41"/>
      <c r="F143" s="35"/>
      <c r="G143" s="42"/>
      <c r="H143" s="35" t="s">
        <v>398</v>
      </c>
    </row>
    <row r="144" spans="1:8" ht="25.5" hidden="1" x14ac:dyDescent="0.25">
      <c r="A144" s="26">
        <v>10</v>
      </c>
      <c r="B144" s="99" t="s">
        <v>61</v>
      </c>
      <c r="C144" s="112"/>
      <c r="D144" s="26"/>
      <c r="E144" s="41"/>
      <c r="F144" s="35"/>
      <c r="G144" s="42"/>
      <c r="H144" s="35" t="s">
        <v>398</v>
      </c>
    </row>
    <row r="145" spans="1:8" ht="25.5" hidden="1" x14ac:dyDescent="0.25">
      <c r="A145" s="26">
        <v>11</v>
      </c>
      <c r="B145" s="99" t="s">
        <v>61</v>
      </c>
      <c r="C145" s="112"/>
      <c r="D145" s="26"/>
      <c r="E145" s="41"/>
      <c r="F145" s="35"/>
      <c r="G145" s="42"/>
      <c r="H145" s="35" t="s">
        <v>398</v>
      </c>
    </row>
    <row r="146" spans="1:8" ht="25.5" hidden="1" x14ac:dyDescent="0.25">
      <c r="A146" s="26">
        <v>12</v>
      </c>
      <c r="B146" s="99" t="s">
        <v>61</v>
      </c>
      <c r="C146" s="112"/>
      <c r="D146" s="26"/>
      <c r="E146" s="41"/>
      <c r="F146" s="35"/>
      <c r="G146" s="42"/>
      <c r="H146" s="35" t="s">
        <v>398</v>
      </c>
    </row>
    <row r="147" spans="1:8" ht="25.5" hidden="1" x14ac:dyDescent="0.25">
      <c r="A147" s="26">
        <v>13</v>
      </c>
      <c r="B147" s="99" t="s">
        <v>61</v>
      </c>
      <c r="C147" s="112"/>
      <c r="D147" s="26"/>
      <c r="E147" s="41"/>
      <c r="F147" s="35"/>
      <c r="G147" s="42"/>
      <c r="H147" s="35" t="s">
        <v>398</v>
      </c>
    </row>
    <row r="148" spans="1:8" ht="25.5" hidden="1" x14ac:dyDescent="0.25">
      <c r="A148" s="26">
        <v>14</v>
      </c>
      <c r="B148" s="99" t="s">
        <v>61</v>
      </c>
      <c r="C148" s="112"/>
      <c r="D148" s="26"/>
      <c r="E148" s="41"/>
      <c r="F148" s="35"/>
      <c r="G148" s="42"/>
      <c r="H148" s="35" t="s">
        <v>398</v>
      </c>
    </row>
    <row r="149" spans="1:8" ht="25.5" hidden="1" x14ac:dyDescent="0.25">
      <c r="A149" s="26">
        <v>15</v>
      </c>
      <c r="B149" s="99" t="s">
        <v>61</v>
      </c>
      <c r="C149" s="112"/>
      <c r="D149" s="26"/>
      <c r="E149" s="41"/>
      <c r="F149" s="35"/>
      <c r="G149" s="42"/>
      <c r="H149" s="35" t="s">
        <v>398</v>
      </c>
    </row>
    <row r="150" spans="1:8" ht="25.5" hidden="1" x14ac:dyDescent="0.25">
      <c r="A150" s="26">
        <v>16</v>
      </c>
      <c r="B150" s="99" t="s">
        <v>61</v>
      </c>
      <c r="C150" s="112"/>
      <c r="D150" s="26"/>
      <c r="E150" s="41"/>
      <c r="F150" s="35"/>
      <c r="G150" s="42"/>
      <c r="H150" s="35" t="s">
        <v>398</v>
      </c>
    </row>
    <row r="151" spans="1:8" ht="25.5" hidden="1" x14ac:dyDescent="0.25">
      <c r="A151" s="26">
        <v>17</v>
      </c>
      <c r="B151" s="99" t="s">
        <v>61</v>
      </c>
      <c r="C151" s="112"/>
      <c r="D151" s="26"/>
      <c r="E151" s="41"/>
      <c r="F151" s="35"/>
      <c r="G151" s="42"/>
      <c r="H151" s="35" t="s">
        <v>398</v>
      </c>
    </row>
    <row r="152" spans="1:8" ht="25.5" hidden="1" x14ac:dyDescent="0.25">
      <c r="A152" s="26">
        <v>18</v>
      </c>
      <c r="B152" s="99" t="s">
        <v>61</v>
      </c>
      <c r="C152" s="112"/>
      <c r="D152" s="26"/>
      <c r="E152" s="41"/>
      <c r="F152" s="35"/>
      <c r="G152" s="42"/>
      <c r="H152" s="35" t="s">
        <v>398</v>
      </c>
    </row>
    <row r="153" spans="1:8" ht="25.5" hidden="1" x14ac:dyDescent="0.25">
      <c r="A153" s="26">
        <v>19</v>
      </c>
      <c r="B153" s="99" t="s">
        <v>61</v>
      </c>
      <c r="C153" s="112"/>
      <c r="D153" s="26"/>
      <c r="E153" s="41"/>
      <c r="F153" s="35"/>
      <c r="G153" s="42"/>
      <c r="H153" s="35" t="s">
        <v>398</v>
      </c>
    </row>
    <row r="154" spans="1:8" ht="25.5" hidden="1" x14ac:dyDescent="0.25">
      <c r="A154" s="26">
        <v>20</v>
      </c>
      <c r="B154" s="99" t="s">
        <v>61</v>
      </c>
      <c r="C154" s="112"/>
      <c r="D154" s="26"/>
      <c r="E154" s="41"/>
      <c r="F154" s="35"/>
      <c r="G154" s="42"/>
      <c r="H154" s="35" t="s">
        <v>398</v>
      </c>
    </row>
    <row r="155" spans="1:8" ht="25.5" hidden="1" x14ac:dyDescent="0.25">
      <c r="A155" s="26">
        <v>21</v>
      </c>
      <c r="B155" s="99" t="s">
        <v>61</v>
      </c>
      <c r="C155" s="112"/>
      <c r="D155" s="26"/>
      <c r="E155" s="41"/>
      <c r="F155" s="35"/>
      <c r="G155" s="42"/>
      <c r="H155" s="35" t="s">
        <v>398</v>
      </c>
    </row>
    <row r="156" spans="1:8" ht="25.5" hidden="1" x14ac:dyDescent="0.25">
      <c r="A156" s="26">
        <v>22</v>
      </c>
      <c r="B156" s="99" t="s">
        <v>61</v>
      </c>
      <c r="C156" s="112"/>
      <c r="D156" s="26"/>
      <c r="E156" s="41"/>
      <c r="F156" s="35"/>
      <c r="G156" s="42"/>
      <c r="H156" s="35" t="s">
        <v>398</v>
      </c>
    </row>
    <row r="157" spans="1:8" ht="25.5" hidden="1" x14ac:dyDescent="0.25">
      <c r="A157" s="26">
        <v>23</v>
      </c>
      <c r="B157" s="99" t="s">
        <v>61</v>
      </c>
      <c r="C157" s="112"/>
      <c r="D157" s="26"/>
      <c r="E157" s="41"/>
      <c r="F157" s="35"/>
      <c r="G157" s="42"/>
      <c r="H157" s="35" t="s">
        <v>398</v>
      </c>
    </row>
    <row r="158" spans="1:8" ht="25.5" hidden="1" x14ac:dyDescent="0.25">
      <c r="A158" s="26">
        <v>24</v>
      </c>
      <c r="B158" s="99" t="s">
        <v>61</v>
      </c>
      <c r="C158" s="112"/>
      <c r="D158" s="26"/>
      <c r="E158" s="41"/>
      <c r="F158" s="35"/>
      <c r="G158" s="42"/>
      <c r="H158" s="35" t="s">
        <v>398</v>
      </c>
    </row>
    <row r="159" spans="1:8" ht="25.5" hidden="1" x14ac:dyDescent="0.25">
      <c r="A159" s="26">
        <v>25</v>
      </c>
      <c r="B159" s="99" t="s">
        <v>61</v>
      </c>
      <c r="C159" s="112"/>
      <c r="D159" s="26"/>
      <c r="E159" s="41"/>
      <c r="F159" s="35"/>
      <c r="G159" s="42"/>
      <c r="H159" s="35" t="s">
        <v>398</v>
      </c>
    </row>
    <row r="160" spans="1:8" ht="25.5" hidden="1" x14ac:dyDescent="0.25">
      <c r="A160" s="26">
        <v>26</v>
      </c>
      <c r="B160" s="99" t="s">
        <v>61</v>
      </c>
      <c r="C160" s="112"/>
      <c r="D160" s="26"/>
      <c r="E160" s="41"/>
      <c r="F160" s="35"/>
      <c r="G160" s="42"/>
      <c r="H160" s="35" t="s">
        <v>398</v>
      </c>
    </row>
    <row r="161" spans="1:8" ht="25.5" hidden="1" x14ac:dyDescent="0.25">
      <c r="A161" s="26">
        <v>27</v>
      </c>
      <c r="B161" s="99" t="s">
        <v>61</v>
      </c>
      <c r="C161" s="112"/>
      <c r="D161" s="26"/>
      <c r="E161" s="41"/>
      <c r="F161" s="35"/>
      <c r="G161" s="42"/>
      <c r="H161" s="35" t="s">
        <v>398</v>
      </c>
    </row>
    <row r="162" spans="1:8" ht="25.5" hidden="1" x14ac:dyDescent="0.25">
      <c r="A162" s="26">
        <v>28</v>
      </c>
      <c r="B162" s="99" t="s">
        <v>61</v>
      </c>
      <c r="C162" s="112"/>
      <c r="D162" s="26"/>
      <c r="E162" s="41"/>
      <c r="F162" s="35"/>
      <c r="G162" s="42"/>
      <c r="H162" s="35" t="s">
        <v>398</v>
      </c>
    </row>
    <row r="163" spans="1:8" ht="25.5" hidden="1" x14ac:dyDescent="0.25">
      <c r="A163" s="26">
        <v>29</v>
      </c>
      <c r="B163" s="99" t="s">
        <v>61</v>
      </c>
      <c r="C163" s="112"/>
      <c r="D163" s="26"/>
      <c r="E163" s="41"/>
      <c r="F163" s="35"/>
      <c r="G163" s="42"/>
      <c r="H163" s="35" t="s">
        <v>398</v>
      </c>
    </row>
    <row r="164" spans="1:8" ht="25.5" hidden="1" x14ac:dyDescent="0.25">
      <c r="A164" s="26">
        <v>30</v>
      </c>
      <c r="B164" s="99" t="s">
        <v>61</v>
      </c>
      <c r="C164" s="112"/>
      <c r="D164" s="26"/>
      <c r="E164" s="41"/>
      <c r="F164" s="35"/>
      <c r="G164" s="42"/>
      <c r="H164" s="35" t="s">
        <v>398</v>
      </c>
    </row>
    <row r="165" spans="1:8" ht="25.5" hidden="1" x14ac:dyDescent="0.25">
      <c r="A165" s="26">
        <v>31</v>
      </c>
      <c r="B165" s="99" t="s">
        <v>61</v>
      </c>
      <c r="C165" s="112"/>
      <c r="D165" s="26"/>
      <c r="E165" s="41"/>
      <c r="F165" s="35"/>
      <c r="G165" s="42"/>
      <c r="H165" s="35" t="s">
        <v>398</v>
      </c>
    </row>
    <row r="166" spans="1:8" ht="25.5" hidden="1" x14ac:dyDescent="0.25">
      <c r="A166" s="26">
        <v>32</v>
      </c>
      <c r="B166" s="99" t="s">
        <v>61</v>
      </c>
      <c r="C166" s="112"/>
      <c r="D166" s="26"/>
      <c r="E166" s="41"/>
      <c r="F166" s="35"/>
      <c r="G166" s="42"/>
      <c r="H166" s="35" t="s">
        <v>398</v>
      </c>
    </row>
    <row r="167" spans="1:8" ht="25.5" hidden="1" x14ac:dyDescent="0.25">
      <c r="A167" s="26">
        <v>33</v>
      </c>
      <c r="B167" s="99" t="s">
        <v>61</v>
      </c>
      <c r="C167" s="112"/>
      <c r="D167" s="26"/>
      <c r="E167" s="41"/>
      <c r="F167" s="35"/>
      <c r="G167" s="42"/>
      <c r="H167" s="35" t="s">
        <v>398</v>
      </c>
    </row>
    <row r="168" spans="1:8" ht="25.5" hidden="1" x14ac:dyDescent="0.25">
      <c r="A168" s="26">
        <v>34</v>
      </c>
      <c r="B168" s="99" t="s">
        <v>61</v>
      </c>
      <c r="C168" s="112"/>
      <c r="D168" s="26"/>
      <c r="E168" s="41"/>
      <c r="F168" s="35"/>
      <c r="G168" s="42"/>
      <c r="H168" s="35" t="s">
        <v>398</v>
      </c>
    </row>
    <row r="169" spans="1:8" ht="25.5" hidden="1" x14ac:dyDescent="0.25">
      <c r="A169" s="26">
        <v>35</v>
      </c>
      <c r="B169" s="99" t="s">
        <v>61</v>
      </c>
      <c r="C169" s="112"/>
      <c r="D169" s="26"/>
      <c r="E169" s="41"/>
      <c r="F169" s="35"/>
      <c r="G169" s="42"/>
      <c r="H169" s="35" t="s">
        <v>398</v>
      </c>
    </row>
    <row r="170" spans="1:8" ht="25.5" hidden="1" x14ac:dyDescent="0.25">
      <c r="A170" s="26">
        <v>36</v>
      </c>
      <c r="B170" s="99" t="s">
        <v>61</v>
      </c>
      <c r="C170" s="112"/>
      <c r="D170" s="26"/>
      <c r="E170" s="41"/>
      <c r="F170" s="35"/>
      <c r="G170" s="42"/>
      <c r="H170" s="35" t="s">
        <v>398</v>
      </c>
    </row>
    <row r="171" spans="1:8" ht="25.5" hidden="1" x14ac:dyDescent="0.25">
      <c r="A171" s="26">
        <v>37</v>
      </c>
      <c r="B171" s="99" t="s">
        <v>61</v>
      </c>
      <c r="C171" s="112"/>
      <c r="D171" s="26"/>
      <c r="E171" s="41"/>
      <c r="F171" s="35"/>
      <c r="G171" s="42"/>
      <c r="H171" s="35" t="s">
        <v>398</v>
      </c>
    </row>
    <row r="172" spans="1:8" ht="25.5" hidden="1" x14ac:dyDescent="0.25">
      <c r="A172" s="26">
        <v>38</v>
      </c>
      <c r="B172" s="99" t="s">
        <v>61</v>
      </c>
      <c r="C172" s="112"/>
      <c r="D172" s="26"/>
      <c r="E172" s="41"/>
      <c r="F172" s="35"/>
      <c r="G172" s="42"/>
      <c r="H172" s="35" t="s">
        <v>398</v>
      </c>
    </row>
    <row r="173" spans="1:8" ht="25.5" hidden="1" x14ac:dyDescent="0.25">
      <c r="A173" s="26">
        <v>39</v>
      </c>
      <c r="B173" s="99" t="s">
        <v>61</v>
      </c>
      <c r="C173" s="112"/>
      <c r="D173" s="26"/>
      <c r="E173" s="41"/>
      <c r="F173" s="35"/>
      <c r="G173" s="42"/>
      <c r="H173" s="35" t="s">
        <v>398</v>
      </c>
    </row>
    <row r="174" spans="1:8" ht="25.5" hidden="1" x14ac:dyDescent="0.25">
      <c r="A174" s="26">
        <v>40</v>
      </c>
      <c r="B174" s="99" t="s">
        <v>61</v>
      </c>
      <c r="C174" s="112"/>
      <c r="D174" s="26"/>
      <c r="E174" s="41"/>
      <c r="F174" s="35"/>
      <c r="G174" s="42"/>
      <c r="H174" s="35" t="s">
        <v>398</v>
      </c>
    </row>
    <row r="175" spans="1:8" ht="25.5" hidden="1" x14ac:dyDescent="0.25">
      <c r="A175" s="26">
        <v>41</v>
      </c>
      <c r="B175" s="99" t="s">
        <v>61</v>
      </c>
      <c r="C175" s="112"/>
      <c r="D175" s="26"/>
      <c r="E175" s="41"/>
      <c r="F175" s="35"/>
      <c r="G175" s="42"/>
      <c r="H175" s="35" t="s">
        <v>398</v>
      </c>
    </row>
    <row r="176" spans="1:8" ht="25.5" hidden="1" x14ac:dyDescent="0.25">
      <c r="A176" s="26">
        <v>42</v>
      </c>
      <c r="B176" s="99" t="s">
        <v>61</v>
      </c>
      <c r="C176" s="112"/>
      <c r="D176" s="26"/>
      <c r="E176" s="41"/>
      <c r="F176" s="35"/>
      <c r="G176" s="42"/>
      <c r="H176" s="35" t="s">
        <v>398</v>
      </c>
    </row>
    <row r="177" spans="1:8" ht="25.5" hidden="1" x14ac:dyDescent="0.25">
      <c r="A177" s="26">
        <v>43</v>
      </c>
      <c r="B177" s="99" t="s">
        <v>61</v>
      </c>
      <c r="C177" s="112"/>
      <c r="D177" s="26"/>
      <c r="E177" s="41"/>
      <c r="F177" s="35"/>
      <c r="G177" s="42"/>
      <c r="H177" s="35" t="s">
        <v>398</v>
      </c>
    </row>
    <row r="178" spans="1:8" ht="25.5" hidden="1" x14ac:dyDescent="0.25">
      <c r="A178" s="26">
        <v>44</v>
      </c>
      <c r="B178" s="99" t="s">
        <v>61</v>
      </c>
      <c r="C178" s="112"/>
      <c r="D178" s="26"/>
      <c r="E178" s="41"/>
      <c r="F178" s="35"/>
      <c r="G178" s="42"/>
      <c r="H178" s="35" t="s">
        <v>398</v>
      </c>
    </row>
    <row r="179" spans="1:8" ht="25.5" hidden="1" x14ac:dyDescent="0.25">
      <c r="A179" s="26">
        <v>45</v>
      </c>
      <c r="B179" s="99" t="s">
        <v>61</v>
      </c>
      <c r="C179" s="112"/>
      <c r="D179" s="26"/>
      <c r="E179" s="41"/>
      <c r="F179" s="35"/>
      <c r="G179" s="42"/>
      <c r="H179" s="35" t="s">
        <v>398</v>
      </c>
    </row>
    <row r="180" spans="1:8" ht="25.5" hidden="1" x14ac:dyDescent="0.25">
      <c r="A180" s="26">
        <v>46</v>
      </c>
      <c r="B180" s="99" t="s">
        <v>61</v>
      </c>
      <c r="C180" s="112"/>
      <c r="D180" s="26"/>
      <c r="E180" s="41"/>
      <c r="F180" s="35"/>
      <c r="G180" s="42"/>
      <c r="H180" s="35" t="s">
        <v>398</v>
      </c>
    </row>
    <row r="181" spans="1:8" ht="25.5" hidden="1" x14ac:dyDescent="0.25">
      <c r="A181" s="26">
        <v>47</v>
      </c>
      <c r="B181" s="99" t="s">
        <v>61</v>
      </c>
      <c r="C181" s="112"/>
      <c r="D181" s="26"/>
      <c r="E181" s="41"/>
      <c r="F181" s="35"/>
      <c r="G181" s="42"/>
      <c r="H181" s="35" t="s">
        <v>398</v>
      </c>
    </row>
    <row r="182" spans="1:8" ht="25.5" hidden="1" x14ac:dyDescent="0.25">
      <c r="A182" s="26">
        <v>48</v>
      </c>
      <c r="B182" s="99" t="s">
        <v>61</v>
      </c>
      <c r="C182" s="112"/>
      <c r="D182" s="26"/>
      <c r="E182" s="41"/>
      <c r="F182" s="35"/>
      <c r="G182" s="42"/>
      <c r="H182" s="35" t="s">
        <v>398</v>
      </c>
    </row>
    <row r="183" spans="1:8" ht="25.5" hidden="1" x14ac:dyDescent="0.25">
      <c r="A183" s="26">
        <v>49</v>
      </c>
      <c r="B183" s="99" t="s">
        <v>61</v>
      </c>
      <c r="C183" s="112"/>
      <c r="D183" s="26"/>
      <c r="E183" s="41"/>
      <c r="F183" s="35"/>
      <c r="G183" s="42"/>
      <c r="H183" s="35" t="s">
        <v>398</v>
      </c>
    </row>
    <row r="184" spans="1:8" ht="25.5" hidden="1" x14ac:dyDescent="0.25">
      <c r="A184" s="26">
        <v>50</v>
      </c>
      <c r="B184" s="99" t="s">
        <v>61</v>
      </c>
      <c r="C184" s="112"/>
      <c r="D184" s="26"/>
      <c r="E184" s="34"/>
      <c r="F184" s="35"/>
      <c r="G184" s="35"/>
      <c r="H184" s="26" t="s">
        <v>398</v>
      </c>
    </row>
    <row r="185" spans="1:8" ht="25.5" x14ac:dyDescent="0.25">
      <c r="A185" s="40"/>
      <c r="B185" s="98"/>
      <c r="C185" s="107" t="s">
        <v>9</v>
      </c>
      <c r="D185" s="40"/>
      <c r="E185" s="41"/>
      <c r="F185" s="42"/>
      <c r="G185" s="42">
        <f>SUM(G135:G184)</f>
        <v>540930</v>
      </c>
      <c r="H185" s="40">
        <f>SUM(H135:H184)</f>
        <v>0</v>
      </c>
    </row>
    <row r="186" spans="1:8" ht="25.5" x14ac:dyDescent="0.25">
      <c r="A186" s="43">
        <v>10</v>
      </c>
      <c r="B186" s="91" t="s">
        <v>44</v>
      </c>
      <c r="C186" s="112" t="s">
        <v>420</v>
      </c>
      <c r="D186" s="26" t="s">
        <v>7</v>
      </c>
      <c r="E186" s="34">
        <v>1</v>
      </c>
      <c r="F186" s="35">
        <v>1500</v>
      </c>
      <c r="G186" s="35">
        <v>1500</v>
      </c>
      <c r="H186" s="35" t="s">
        <v>397</v>
      </c>
    </row>
    <row r="187" spans="1:8" ht="25.5" x14ac:dyDescent="0.25">
      <c r="A187" s="40"/>
      <c r="B187" s="98"/>
      <c r="C187" s="107" t="s">
        <v>9</v>
      </c>
      <c r="D187" s="40"/>
      <c r="E187" s="41"/>
      <c r="F187" s="42"/>
      <c r="G187" s="42">
        <f>SUM(G186:G186)</f>
        <v>1500</v>
      </c>
      <c r="H187" s="40"/>
    </row>
    <row r="188" spans="1:8" ht="25.5" x14ac:dyDescent="0.25">
      <c r="A188" s="43">
        <v>11</v>
      </c>
      <c r="B188" s="91" t="s">
        <v>439</v>
      </c>
      <c r="C188" s="112" t="s">
        <v>420</v>
      </c>
      <c r="D188" s="26" t="s">
        <v>7</v>
      </c>
      <c r="E188" s="34">
        <v>1</v>
      </c>
      <c r="F188" s="35">
        <v>1500</v>
      </c>
      <c r="G188" s="35">
        <v>1500</v>
      </c>
      <c r="H188" s="35" t="s">
        <v>397</v>
      </c>
    </row>
    <row r="189" spans="1:8" s="44" customFormat="1" ht="25.5" hidden="1" x14ac:dyDescent="0.25">
      <c r="A189" s="43"/>
      <c r="B189" s="91"/>
      <c r="C189" s="112"/>
      <c r="D189" s="26"/>
      <c r="E189" s="34"/>
      <c r="F189" s="35"/>
      <c r="G189" s="35"/>
      <c r="H189" s="35" t="s">
        <v>397</v>
      </c>
    </row>
    <row r="190" spans="1:8" ht="25.5" x14ac:dyDescent="0.25">
      <c r="A190" s="40"/>
      <c r="B190" s="98"/>
      <c r="C190" s="107" t="s">
        <v>9</v>
      </c>
      <c r="D190" s="40"/>
      <c r="E190" s="41"/>
      <c r="F190" s="42"/>
      <c r="G190" s="42">
        <f>SUM(G188:G189)</f>
        <v>1500</v>
      </c>
      <c r="H190" s="40"/>
    </row>
    <row r="191" spans="1:8" ht="25.5" x14ac:dyDescent="0.25">
      <c r="A191" s="26">
        <v>12</v>
      </c>
      <c r="B191" s="99" t="s">
        <v>43</v>
      </c>
      <c r="C191" s="112" t="s">
        <v>420</v>
      </c>
      <c r="D191" s="26" t="s">
        <v>7</v>
      </c>
      <c r="E191" s="34">
        <v>2</v>
      </c>
      <c r="F191" s="35">
        <f>G191/E191</f>
        <v>450</v>
      </c>
      <c r="G191" s="35">
        <v>900</v>
      </c>
      <c r="H191" s="26"/>
    </row>
    <row r="192" spans="1:8" ht="25.5" x14ac:dyDescent="0.25">
      <c r="A192" s="40"/>
      <c r="B192" s="98"/>
      <c r="C192" s="107" t="s">
        <v>9</v>
      </c>
      <c r="D192" s="40"/>
      <c r="E192" s="41"/>
      <c r="F192" s="42"/>
      <c r="G192" s="42">
        <f>SUM(G191:G191)</f>
        <v>900</v>
      </c>
      <c r="H192" s="40">
        <f>SUM(H191:H191)</f>
        <v>0</v>
      </c>
    </row>
    <row r="193" spans="1:8" x14ac:dyDescent="0.25">
      <c r="A193" s="181" t="s">
        <v>673</v>
      </c>
      <c r="B193" s="182"/>
      <c r="C193" s="172"/>
      <c r="D193" s="46"/>
      <c r="E193" s="47"/>
      <c r="F193" s="48"/>
      <c r="G193" s="48">
        <f>G192+G190+G187+G185+G132+G123+G109+G98+G80+G57+G55+G84</f>
        <v>763416.12</v>
      </c>
      <c r="H193" s="35" t="s">
        <v>397</v>
      </c>
    </row>
    <row r="195" spans="1:8" x14ac:dyDescent="0.25">
      <c r="B195" s="36" t="s">
        <v>63</v>
      </c>
    </row>
  </sheetData>
  <mergeCells count="10">
    <mergeCell ref="A128:A130"/>
    <mergeCell ref="B128:B130"/>
    <mergeCell ref="A193:B193"/>
    <mergeCell ref="A114:A117"/>
    <mergeCell ref="B114:B117"/>
    <mergeCell ref="A1:H1"/>
    <mergeCell ref="E4:E5"/>
    <mergeCell ref="C4:C5"/>
    <mergeCell ref="A3:A8"/>
    <mergeCell ref="B3:B8"/>
  </mergeCells>
  <pageMargins left="0.70866141732283472" right="0.70866141732283472" top="0.74803149606299213" bottom="0.74803149606299213" header="0.31496062992125984" footer="0.31496062992125984"/>
  <pageSetup paperSize="9" scale="65" orientation="landscape" verticalDpi="0" r:id="rId1"/>
  <colBreaks count="1" manualBreakCount="1">
    <brk id="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6"/>
  <sheetViews>
    <sheetView view="pageBreakPreview" zoomScaleNormal="100" zoomScaleSheetLayoutView="100" workbookViewId="0">
      <selection activeCell="C3" sqref="C3"/>
    </sheetView>
  </sheetViews>
  <sheetFormatPr defaultRowHeight="15" x14ac:dyDescent="0.25"/>
  <cols>
    <col min="1" max="1" width="3.85546875" style="36" customWidth="1"/>
    <col min="2" max="2" width="26.140625" style="36" customWidth="1"/>
    <col min="3" max="3" width="37.140625" style="170" customWidth="1"/>
    <col min="4" max="4" width="7" style="36" customWidth="1"/>
    <col min="5" max="5" width="9.140625" style="52" customWidth="1"/>
    <col min="6" max="6" width="14.7109375" style="39" customWidth="1"/>
    <col min="7" max="7" width="13.85546875" style="39" customWidth="1"/>
    <col min="8" max="8" width="22.85546875" style="36" hidden="1" customWidth="1"/>
    <col min="9" max="9" width="20.7109375" style="36" customWidth="1"/>
    <col min="10" max="16384" width="9.140625" style="36"/>
  </cols>
  <sheetData>
    <row r="1" spans="1:8" ht="18.75" x14ac:dyDescent="0.25">
      <c r="A1" s="86" t="s">
        <v>454</v>
      </c>
      <c r="B1" s="86"/>
      <c r="C1" s="86"/>
      <c r="D1" s="86"/>
      <c r="E1" s="86"/>
      <c r="F1" s="86"/>
      <c r="G1" s="86"/>
      <c r="H1" s="86"/>
    </row>
    <row r="2" spans="1:8" ht="47.25" x14ac:dyDescent="0.25">
      <c r="A2" s="22" t="s">
        <v>0</v>
      </c>
      <c r="B2" s="23" t="s">
        <v>1</v>
      </c>
      <c r="C2" s="166" t="s">
        <v>2</v>
      </c>
      <c r="D2" s="22" t="s">
        <v>3</v>
      </c>
      <c r="E2" s="24" t="s">
        <v>4</v>
      </c>
      <c r="F2" s="25" t="s">
        <v>5</v>
      </c>
      <c r="G2" s="25" t="s">
        <v>6</v>
      </c>
      <c r="H2" s="20" t="s">
        <v>54</v>
      </c>
    </row>
    <row r="3" spans="1:8" x14ac:dyDescent="0.25">
      <c r="A3" s="82">
        <v>1</v>
      </c>
      <c r="B3" s="88" t="s">
        <v>55</v>
      </c>
      <c r="C3" s="112" t="s">
        <v>347</v>
      </c>
      <c r="D3" s="26" t="s">
        <v>7</v>
      </c>
      <c r="E3" s="34">
        <v>10</v>
      </c>
      <c r="F3" s="35">
        <v>19593.45</v>
      </c>
      <c r="G3" s="35">
        <v>195934.5</v>
      </c>
      <c r="H3" s="35" t="s">
        <v>397</v>
      </c>
    </row>
    <row r="4" spans="1:8" x14ac:dyDescent="0.25">
      <c r="A4" s="87"/>
      <c r="B4" s="89"/>
      <c r="C4" s="57" t="s">
        <v>441</v>
      </c>
      <c r="D4" s="26" t="s">
        <v>7</v>
      </c>
      <c r="E4" s="34">
        <v>8</v>
      </c>
      <c r="F4" s="35">
        <v>80</v>
      </c>
      <c r="G4" s="35">
        <v>640</v>
      </c>
      <c r="H4" s="26" t="s">
        <v>398</v>
      </c>
    </row>
    <row r="5" spans="1:8" x14ac:dyDescent="0.25">
      <c r="A5" s="87"/>
      <c r="B5" s="89"/>
      <c r="C5" s="57" t="s">
        <v>442</v>
      </c>
      <c r="D5" s="26" t="s">
        <v>7</v>
      </c>
      <c r="E5" s="34">
        <v>5</v>
      </c>
      <c r="F5" s="35">
        <v>8.1</v>
      </c>
      <c r="G5" s="35">
        <v>40.5</v>
      </c>
      <c r="H5" s="26" t="s">
        <v>398</v>
      </c>
    </row>
    <row r="6" spans="1:8" x14ac:dyDescent="0.25">
      <c r="A6" s="83"/>
      <c r="B6" s="90"/>
      <c r="C6" s="57" t="s">
        <v>443</v>
      </c>
      <c r="D6" s="26" t="s">
        <v>7</v>
      </c>
      <c r="E6" s="34">
        <v>1</v>
      </c>
      <c r="F6" s="35">
        <v>4.45</v>
      </c>
      <c r="G6" s="35">
        <v>4.45</v>
      </c>
      <c r="H6" s="26" t="s">
        <v>398</v>
      </c>
    </row>
    <row r="7" spans="1:8" ht="25.5" x14ac:dyDescent="0.25">
      <c r="A7" s="40"/>
      <c r="B7" s="98"/>
      <c r="C7" s="107" t="s">
        <v>9</v>
      </c>
      <c r="D7" s="40"/>
      <c r="E7" s="41"/>
      <c r="F7" s="42"/>
      <c r="G7" s="42">
        <f>SUM(G3:G6)</f>
        <v>196619.45</v>
      </c>
      <c r="H7" s="42">
        <f>SUM(H3:H6)</f>
        <v>0</v>
      </c>
    </row>
    <row r="8" spans="1:8" x14ac:dyDescent="0.25">
      <c r="A8" s="92">
        <v>2</v>
      </c>
      <c r="B8" s="95" t="s">
        <v>64</v>
      </c>
      <c r="C8" s="112" t="s">
        <v>347</v>
      </c>
      <c r="D8" s="26" t="s">
        <v>7</v>
      </c>
      <c r="E8" s="34">
        <v>10</v>
      </c>
      <c r="F8" s="35">
        <v>19593.45</v>
      </c>
      <c r="G8" s="35">
        <v>195934.5</v>
      </c>
      <c r="H8" s="35" t="s">
        <v>397</v>
      </c>
    </row>
    <row r="9" spans="1:8" x14ac:dyDescent="0.25">
      <c r="A9" s="93"/>
      <c r="B9" s="96"/>
      <c r="C9" s="57" t="s">
        <v>442</v>
      </c>
      <c r="D9" s="26" t="s">
        <v>7</v>
      </c>
      <c r="E9" s="34">
        <v>3</v>
      </c>
      <c r="F9" s="35">
        <v>8.1</v>
      </c>
      <c r="G9" s="35">
        <v>24.3</v>
      </c>
      <c r="H9" s="35"/>
    </row>
    <row r="10" spans="1:8" x14ac:dyDescent="0.25">
      <c r="A10" s="94"/>
      <c r="B10" s="97"/>
      <c r="C10" s="57" t="s">
        <v>443</v>
      </c>
      <c r="D10" s="26" t="s">
        <v>7</v>
      </c>
      <c r="E10" s="34">
        <v>1</v>
      </c>
      <c r="F10" s="35">
        <v>4.45</v>
      </c>
      <c r="G10" s="35">
        <v>4.45</v>
      </c>
      <c r="H10" s="35"/>
    </row>
    <row r="11" spans="1:8" ht="25.5" x14ac:dyDescent="0.25">
      <c r="A11" s="40"/>
      <c r="B11" s="98"/>
      <c r="C11" s="107" t="s">
        <v>9</v>
      </c>
      <c r="D11" s="40"/>
      <c r="E11" s="41"/>
      <c r="F11" s="42"/>
      <c r="G11" s="42">
        <f>SUM(G8:H10)</f>
        <v>195963.25</v>
      </c>
      <c r="H11" s="40"/>
    </row>
    <row r="12" spans="1:8" x14ac:dyDescent="0.25">
      <c r="A12" s="82">
        <v>3</v>
      </c>
      <c r="B12" s="88" t="s">
        <v>22</v>
      </c>
      <c r="C12" s="112" t="s">
        <v>347</v>
      </c>
      <c r="D12" s="26" t="s">
        <v>7</v>
      </c>
      <c r="E12" s="34">
        <v>20</v>
      </c>
      <c r="F12" s="35">
        <v>19593.45</v>
      </c>
      <c r="G12" s="35">
        <v>391869</v>
      </c>
      <c r="H12" s="35" t="s">
        <v>397</v>
      </c>
    </row>
    <row r="13" spans="1:8" x14ac:dyDescent="0.25">
      <c r="A13" s="87"/>
      <c r="B13" s="89"/>
      <c r="C13" s="112" t="s">
        <v>297</v>
      </c>
      <c r="D13" s="26" t="s">
        <v>7</v>
      </c>
      <c r="E13" s="34">
        <v>61</v>
      </c>
      <c r="F13" s="35"/>
      <c r="G13" s="35">
        <v>8234.39</v>
      </c>
      <c r="H13" s="35" t="s">
        <v>397</v>
      </c>
    </row>
    <row r="14" spans="1:8" x14ac:dyDescent="0.25">
      <c r="A14" s="87"/>
      <c r="B14" s="89"/>
      <c r="C14" s="57" t="s">
        <v>442</v>
      </c>
      <c r="D14" s="26" t="s">
        <v>7</v>
      </c>
      <c r="E14" s="34">
        <v>3</v>
      </c>
      <c r="F14" s="35">
        <v>8.1</v>
      </c>
      <c r="G14" s="35">
        <v>24.3</v>
      </c>
      <c r="H14" s="35" t="s">
        <v>397</v>
      </c>
    </row>
    <row r="15" spans="1:8" x14ac:dyDescent="0.25">
      <c r="A15" s="83"/>
      <c r="B15" s="90"/>
      <c r="C15" s="57" t="s">
        <v>443</v>
      </c>
      <c r="D15" s="26" t="s">
        <v>7</v>
      </c>
      <c r="E15" s="34">
        <v>1</v>
      </c>
      <c r="F15" s="35">
        <v>4.45</v>
      </c>
      <c r="G15" s="35">
        <v>4.45</v>
      </c>
      <c r="H15" s="35" t="s">
        <v>397</v>
      </c>
    </row>
    <row r="16" spans="1:8" ht="25.5" x14ac:dyDescent="0.25">
      <c r="A16" s="40"/>
      <c r="B16" s="98"/>
      <c r="C16" s="107" t="s">
        <v>9</v>
      </c>
      <c r="D16" s="40"/>
      <c r="E16" s="41"/>
      <c r="F16" s="42"/>
      <c r="G16" s="42">
        <f>SUM(G12:G15)</f>
        <v>400132.14</v>
      </c>
      <c r="H16" s="42">
        <f>SUM(H12:H15)</f>
        <v>0</v>
      </c>
    </row>
    <row r="17" spans="1:8" x14ac:dyDescent="0.25">
      <c r="A17" s="82">
        <v>4</v>
      </c>
      <c r="B17" s="88" t="s">
        <v>24</v>
      </c>
      <c r="C17" s="112" t="s">
        <v>347</v>
      </c>
      <c r="D17" s="26" t="s">
        <v>7</v>
      </c>
      <c r="E17" s="34">
        <v>10</v>
      </c>
      <c r="F17" s="35">
        <v>19593.45</v>
      </c>
      <c r="G17" s="35">
        <v>195934.5</v>
      </c>
      <c r="H17" s="35" t="s">
        <v>397</v>
      </c>
    </row>
    <row r="18" spans="1:8" x14ac:dyDescent="0.25">
      <c r="A18" s="87"/>
      <c r="B18" s="89"/>
      <c r="C18" s="112" t="s">
        <v>297</v>
      </c>
      <c r="D18" s="26" t="s">
        <v>7</v>
      </c>
      <c r="E18" s="34">
        <v>93</v>
      </c>
      <c r="F18" s="35"/>
      <c r="G18" s="35">
        <v>11373.9</v>
      </c>
      <c r="H18" s="35" t="s">
        <v>397</v>
      </c>
    </row>
    <row r="19" spans="1:8" x14ac:dyDescent="0.25">
      <c r="A19" s="87"/>
      <c r="B19" s="89"/>
      <c r="C19" s="57" t="s">
        <v>442</v>
      </c>
      <c r="D19" s="26" t="s">
        <v>7</v>
      </c>
      <c r="E19" s="34">
        <v>3</v>
      </c>
      <c r="F19" s="35">
        <v>8.1</v>
      </c>
      <c r="G19" s="35">
        <v>24.3</v>
      </c>
      <c r="H19" s="35"/>
    </row>
    <row r="20" spans="1:8" x14ac:dyDescent="0.25">
      <c r="A20" s="83"/>
      <c r="B20" s="90"/>
      <c r="C20" s="57" t="s">
        <v>443</v>
      </c>
      <c r="D20" s="26" t="s">
        <v>7</v>
      </c>
      <c r="E20" s="34">
        <v>1</v>
      </c>
      <c r="F20" s="35">
        <v>4.45</v>
      </c>
      <c r="G20" s="35">
        <v>4.45</v>
      </c>
      <c r="H20" s="35"/>
    </row>
    <row r="21" spans="1:8" ht="25.5" x14ac:dyDescent="0.25">
      <c r="A21" s="40"/>
      <c r="B21" s="98"/>
      <c r="C21" s="107" t="s">
        <v>9</v>
      </c>
      <c r="D21" s="40"/>
      <c r="E21" s="41"/>
      <c r="F21" s="42"/>
      <c r="G21" s="42">
        <f>SUM(G17:H20)</f>
        <v>207337.15</v>
      </c>
      <c r="H21" s="40"/>
    </row>
    <row r="22" spans="1:8" x14ac:dyDescent="0.25">
      <c r="A22" s="92">
        <v>5</v>
      </c>
      <c r="B22" s="95" t="s">
        <v>25</v>
      </c>
      <c r="C22" s="112" t="s">
        <v>347</v>
      </c>
      <c r="D22" s="26" t="s">
        <v>7</v>
      </c>
      <c r="E22" s="34">
        <v>10</v>
      </c>
      <c r="F22" s="35">
        <v>19593.45</v>
      </c>
      <c r="G22" s="35">
        <v>195934.5</v>
      </c>
      <c r="H22" s="35" t="s">
        <v>397</v>
      </c>
    </row>
    <row r="23" spans="1:8" x14ac:dyDescent="0.25">
      <c r="A23" s="93"/>
      <c r="B23" s="96"/>
      <c r="C23" s="112" t="s">
        <v>297</v>
      </c>
      <c r="D23" s="26" t="s">
        <v>7</v>
      </c>
      <c r="E23" s="34">
        <v>26</v>
      </c>
      <c r="F23" s="35"/>
      <c r="G23" s="35">
        <v>3412.5</v>
      </c>
      <c r="H23" s="35"/>
    </row>
    <row r="24" spans="1:8" x14ac:dyDescent="0.25">
      <c r="A24" s="93"/>
      <c r="B24" s="96"/>
      <c r="C24" s="57" t="s">
        <v>442</v>
      </c>
      <c r="D24" s="26" t="s">
        <v>7</v>
      </c>
      <c r="E24" s="34">
        <v>3</v>
      </c>
      <c r="F24" s="35">
        <v>8.1</v>
      </c>
      <c r="G24" s="35">
        <v>24.3</v>
      </c>
      <c r="H24" s="35"/>
    </row>
    <row r="25" spans="1:8" x14ac:dyDescent="0.25">
      <c r="A25" s="94"/>
      <c r="B25" s="97"/>
      <c r="C25" s="57" t="s">
        <v>443</v>
      </c>
      <c r="D25" s="26" t="s">
        <v>7</v>
      </c>
      <c r="E25" s="34">
        <v>1</v>
      </c>
      <c r="F25" s="35">
        <v>4.45</v>
      </c>
      <c r="G25" s="35">
        <v>4.45</v>
      </c>
      <c r="H25" s="35"/>
    </row>
    <row r="26" spans="1:8" ht="25.5" x14ac:dyDescent="0.25">
      <c r="A26" s="40"/>
      <c r="B26" s="98"/>
      <c r="C26" s="107" t="s">
        <v>9</v>
      </c>
      <c r="D26" s="40"/>
      <c r="E26" s="41"/>
      <c r="F26" s="42"/>
      <c r="G26" s="42">
        <f>SUM(G22:G25)</f>
        <v>199375.75</v>
      </c>
      <c r="H26" s="40"/>
    </row>
    <row r="27" spans="1:8" x14ac:dyDescent="0.25">
      <c r="A27" s="92">
        <v>6</v>
      </c>
      <c r="B27" s="95" t="s">
        <v>26</v>
      </c>
      <c r="C27" s="112" t="s">
        <v>347</v>
      </c>
      <c r="D27" s="26" t="s">
        <v>7</v>
      </c>
      <c r="E27" s="34">
        <v>30</v>
      </c>
      <c r="F27" s="35">
        <v>19593.45</v>
      </c>
      <c r="G27" s="35">
        <v>587803.5</v>
      </c>
      <c r="H27" s="35" t="s">
        <v>397</v>
      </c>
    </row>
    <row r="28" spans="1:8" x14ac:dyDescent="0.25">
      <c r="A28" s="93"/>
      <c r="B28" s="96"/>
      <c r="C28" s="57" t="s">
        <v>442</v>
      </c>
      <c r="D28" s="26" t="s">
        <v>7</v>
      </c>
      <c r="E28" s="34">
        <v>3</v>
      </c>
      <c r="F28" s="35">
        <v>8.1</v>
      </c>
      <c r="G28" s="35">
        <v>24.3</v>
      </c>
      <c r="H28" s="35" t="s">
        <v>397</v>
      </c>
    </row>
    <row r="29" spans="1:8" x14ac:dyDescent="0.25">
      <c r="A29" s="93"/>
      <c r="B29" s="96"/>
      <c r="C29" s="57" t="s">
        <v>443</v>
      </c>
      <c r="D29" s="26" t="s">
        <v>7</v>
      </c>
      <c r="E29" s="34">
        <v>1</v>
      </c>
      <c r="F29" s="35">
        <v>4.45</v>
      </c>
      <c r="G29" s="35">
        <v>4.45</v>
      </c>
      <c r="H29" s="35"/>
    </row>
    <row r="30" spans="1:8" x14ac:dyDescent="0.25">
      <c r="A30" s="93"/>
      <c r="B30" s="96"/>
      <c r="C30" s="57" t="s">
        <v>444</v>
      </c>
      <c r="D30" s="26" t="s">
        <v>7</v>
      </c>
      <c r="E30" s="34">
        <f>2+4+2</f>
        <v>8</v>
      </c>
      <c r="F30" s="35">
        <f>G30/E30</f>
        <v>360.125</v>
      </c>
      <c r="G30" s="35">
        <f>896+1872+113</f>
        <v>2881</v>
      </c>
      <c r="H30" s="35"/>
    </row>
    <row r="31" spans="1:8" x14ac:dyDescent="0.25">
      <c r="A31" s="93"/>
      <c r="B31" s="96"/>
      <c r="C31" s="57" t="s">
        <v>278</v>
      </c>
      <c r="D31" s="26" t="s">
        <v>7</v>
      </c>
      <c r="E31" s="34">
        <v>2</v>
      </c>
      <c r="F31" s="35">
        <f t="shared" ref="F31:F40" si="0">G31/E31</f>
        <v>220</v>
      </c>
      <c r="G31" s="35">
        <v>440</v>
      </c>
      <c r="H31" s="35"/>
    </row>
    <row r="32" spans="1:8" x14ac:dyDescent="0.25">
      <c r="A32" s="93"/>
      <c r="B32" s="96"/>
      <c r="C32" s="57" t="s">
        <v>445</v>
      </c>
      <c r="D32" s="26" t="s">
        <v>7</v>
      </c>
      <c r="E32" s="34">
        <v>3</v>
      </c>
      <c r="F32" s="35">
        <f t="shared" si="0"/>
        <v>950</v>
      </c>
      <c r="G32" s="35">
        <v>2850</v>
      </c>
      <c r="H32" s="35"/>
    </row>
    <row r="33" spans="1:8" x14ac:dyDescent="0.25">
      <c r="A33" s="93"/>
      <c r="B33" s="96"/>
      <c r="C33" s="57" t="s">
        <v>324</v>
      </c>
      <c r="D33" s="26" t="s">
        <v>7</v>
      </c>
      <c r="E33" s="34">
        <f>2+2+10+2+9</f>
        <v>25</v>
      </c>
      <c r="F33" s="35">
        <f t="shared" si="0"/>
        <v>263.2072</v>
      </c>
      <c r="G33" s="35">
        <f>572.96+490.24+2658+531.58+2327.4</f>
        <v>6580.18</v>
      </c>
      <c r="H33" s="35"/>
    </row>
    <row r="34" spans="1:8" x14ac:dyDescent="0.25">
      <c r="A34" s="93"/>
      <c r="B34" s="96"/>
      <c r="C34" s="57" t="s">
        <v>325</v>
      </c>
      <c r="D34" s="26" t="s">
        <v>7</v>
      </c>
      <c r="E34" s="34">
        <v>3</v>
      </c>
      <c r="F34" s="35">
        <f t="shared" si="0"/>
        <v>90</v>
      </c>
      <c r="G34" s="35">
        <v>270</v>
      </c>
      <c r="H34" s="35"/>
    </row>
    <row r="35" spans="1:8" x14ac:dyDescent="0.25">
      <c r="A35" s="93"/>
      <c r="B35" s="96"/>
      <c r="C35" s="57" t="s">
        <v>446</v>
      </c>
      <c r="D35" s="26" t="s">
        <v>7</v>
      </c>
      <c r="E35" s="34">
        <v>4</v>
      </c>
      <c r="F35" s="35">
        <f t="shared" si="0"/>
        <v>70</v>
      </c>
      <c r="G35" s="35">
        <v>280</v>
      </c>
      <c r="H35" s="35"/>
    </row>
    <row r="36" spans="1:8" x14ac:dyDescent="0.25">
      <c r="A36" s="93"/>
      <c r="B36" s="96"/>
      <c r="C36" s="57" t="s">
        <v>74</v>
      </c>
      <c r="D36" s="26" t="s">
        <v>7</v>
      </c>
      <c r="E36" s="34">
        <v>8</v>
      </c>
      <c r="F36" s="35">
        <f t="shared" si="0"/>
        <v>43</v>
      </c>
      <c r="G36" s="35">
        <v>344</v>
      </c>
      <c r="H36" s="35"/>
    </row>
    <row r="37" spans="1:8" x14ac:dyDescent="0.25">
      <c r="A37" s="93"/>
      <c r="B37" s="96"/>
      <c r="C37" s="57" t="s">
        <v>73</v>
      </c>
      <c r="D37" s="26" t="s">
        <v>7</v>
      </c>
      <c r="E37" s="34">
        <v>9</v>
      </c>
      <c r="F37" s="35">
        <f t="shared" si="0"/>
        <v>11</v>
      </c>
      <c r="G37" s="35">
        <v>99</v>
      </c>
      <c r="H37" s="35"/>
    </row>
    <row r="38" spans="1:8" x14ac:dyDescent="0.25">
      <c r="A38" s="93"/>
      <c r="B38" s="96"/>
      <c r="C38" s="112" t="s">
        <v>28</v>
      </c>
      <c r="D38" s="26" t="s">
        <v>7</v>
      </c>
      <c r="E38" s="34">
        <f>15+80</f>
        <v>95</v>
      </c>
      <c r="F38" s="35">
        <f t="shared" si="0"/>
        <v>102.05263157894737</v>
      </c>
      <c r="G38" s="35">
        <f>1695+8000</f>
        <v>9695</v>
      </c>
      <c r="H38" s="35"/>
    </row>
    <row r="39" spans="1:8" x14ac:dyDescent="0.25">
      <c r="A39" s="93"/>
      <c r="B39" s="96"/>
      <c r="C39" s="112" t="s">
        <v>216</v>
      </c>
      <c r="D39" s="26" t="s">
        <v>447</v>
      </c>
      <c r="E39" s="34">
        <v>2</v>
      </c>
      <c r="F39" s="35">
        <f t="shared" si="0"/>
        <v>300</v>
      </c>
      <c r="G39" s="35">
        <v>600</v>
      </c>
      <c r="H39" s="35"/>
    </row>
    <row r="40" spans="1:8" x14ac:dyDescent="0.25">
      <c r="A40" s="94"/>
      <c r="B40" s="97"/>
      <c r="C40" s="112" t="s">
        <v>448</v>
      </c>
      <c r="D40" s="26" t="s">
        <v>7</v>
      </c>
      <c r="E40" s="34">
        <v>2</v>
      </c>
      <c r="F40" s="35">
        <f t="shared" si="0"/>
        <v>35000</v>
      </c>
      <c r="G40" s="35">
        <v>70000</v>
      </c>
      <c r="H40" s="35"/>
    </row>
    <row r="41" spans="1:8" ht="25.5" x14ac:dyDescent="0.25">
      <c r="A41" s="40"/>
      <c r="B41" s="98"/>
      <c r="C41" s="107" t="s">
        <v>9</v>
      </c>
      <c r="D41" s="40"/>
      <c r="E41" s="41"/>
      <c r="F41" s="42"/>
      <c r="G41" s="42">
        <f>SUM(G27:G40)</f>
        <v>681871.43</v>
      </c>
      <c r="H41" s="40">
        <f>SUM(H27:H40)</f>
        <v>0</v>
      </c>
    </row>
    <row r="42" spans="1:8" x14ac:dyDescent="0.25">
      <c r="A42" s="92">
        <v>7</v>
      </c>
      <c r="B42" s="95" t="s">
        <v>45</v>
      </c>
      <c r="C42" s="112" t="s">
        <v>347</v>
      </c>
      <c r="D42" s="26" t="s">
        <v>7</v>
      </c>
      <c r="E42" s="34">
        <v>20</v>
      </c>
      <c r="F42" s="35">
        <v>19593.45</v>
      </c>
      <c r="G42" s="35">
        <v>391869</v>
      </c>
      <c r="H42" s="35" t="s">
        <v>397</v>
      </c>
    </row>
    <row r="43" spans="1:8" x14ac:dyDescent="0.25">
      <c r="A43" s="93"/>
      <c r="B43" s="96"/>
      <c r="C43" s="112" t="s">
        <v>297</v>
      </c>
      <c r="D43" s="26" t="s">
        <v>7</v>
      </c>
      <c r="E43" s="34">
        <v>94</v>
      </c>
      <c r="F43" s="35"/>
      <c r="G43" s="35">
        <v>11496.2</v>
      </c>
      <c r="H43" s="35" t="s">
        <v>397</v>
      </c>
    </row>
    <row r="44" spans="1:8" x14ac:dyDescent="0.25">
      <c r="A44" s="93"/>
      <c r="B44" s="96"/>
      <c r="C44" s="57" t="s">
        <v>442</v>
      </c>
      <c r="D44" s="26" t="s">
        <v>7</v>
      </c>
      <c r="E44" s="34">
        <v>3</v>
      </c>
      <c r="F44" s="35">
        <v>8.1</v>
      </c>
      <c r="G44" s="35">
        <v>24.3</v>
      </c>
      <c r="H44" s="35" t="s">
        <v>397</v>
      </c>
    </row>
    <row r="45" spans="1:8" x14ac:dyDescent="0.25">
      <c r="A45" s="94"/>
      <c r="B45" s="97"/>
      <c r="C45" s="57" t="s">
        <v>443</v>
      </c>
      <c r="D45" s="26" t="s">
        <v>7</v>
      </c>
      <c r="E45" s="34">
        <v>1</v>
      </c>
      <c r="F45" s="35">
        <v>4.45</v>
      </c>
      <c r="G45" s="35">
        <v>4.45</v>
      </c>
      <c r="H45" s="35" t="s">
        <v>397</v>
      </c>
    </row>
    <row r="46" spans="1:8" ht="25.5" x14ac:dyDescent="0.25">
      <c r="A46" s="40"/>
      <c r="B46" s="98"/>
      <c r="C46" s="107" t="s">
        <v>9</v>
      </c>
      <c r="D46" s="40"/>
      <c r="E46" s="41"/>
      <c r="F46" s="42"/>
      <c r="G46" s="42">
        <f>SUM(G42:G45)</f>
        <v>403393.95</v>
      </c>
      <c r="H46" s="40">
        <f>SUM(H42:H45)</f>
        <v>0</v>
      </c>
    </row>
    <row r="47" spans="1:8" x14ac:dyDescent="0.25">
      <c r="A47" s="82">
        <v>8</v>
      </c>
      <c r="B47" s="88" t="s">
        <v>27</v>
      </c>
      <c r="C47" s="112" t="s">
        <v>347</v>
      </c>
      <c r="D47" s="26" t="s">
        <v>7</v>
      </c>
      <c r="E47" s="34">
        <v>10</v>
      </c>
      <c r="F47" s="35">
        <v>19593.45</v>
      </c>
      <c r="G47" s="35">
        <v>195934.5</v>
      </c>
      <c r="H47" s="35" t="s">
        <v>397</v>
      </c>
    </row>
    <row r="48" spans="1:8" x14ac:dyDescent="0.25">
      <c r="A48" s="87"/>
      <c r="B48" s="89"/>
      <c r="C48" s="57" t="s">
        <v>442</v>
      </c>
      <c r="D48" s="26" t="s">
        <v>7</v>
      </c>
      <c r="E48" s="34">
        <v>4</v>
      </c>
      <c r="F48" s="35">
        <v>8.1</v>
      </c>
      <c r="G48" s="35">
        <v>32.4</v>
      </c>
      <c r="H48" s="35"/>
    </row>
    <row r="49" spans="1:9" x14ac:dyDescent="0.25">
      <c r="A49" s="83"/>
      <c r="B49" s="90"/>
      <c r="C49" s="57" t="s">
        <v>443</v>
      </c>
      <c r="D49" s="26" t="s">
        <v>7</v>
      </c>
      <c r="E49" s="34">
        <v>1</v>
      </c>
      <c r="F49" s="35">
        <v>4.45</v>
      </c>
      <c r="G49" s="35">
        <v>4.45</v>
      </c>
      <c r="H49" s="35"/>
    </row>
    <row r="50" spans="1:9" ht="25.5" x14ac:dyDescent="0.25">
      <c r="A50" s="40"/>
      <c r="B50" s="98"/>
      <c r="C50" s="107" t="s">
        <v>9</v>
      </c>
      <c r="D50" s="40"/>
      <c r="E50" s="41"/>
      <c r="F50" s="42"/>
      <c r="G50" s="42">
        <f>SUM(G47:G49)</f>
        <v>195971.35</v>
      </c>
      <c r="H50" s="40">
        <f>SUM(H47:H49)</f>
        <v>0</v>
      </c>
    </row>
    <row r="51" spans="1:9" x14ac:dyDescent="0.25">
      <c r="A51" s="92">
        <v>9</v>
      </c>
      <c r="B51" s="95" t="s">
        <v>29</v>
      </c>
      <c r="C51" s="112" t="s">
        <v>347</v>
      </c>
      <c r="D51" s="26" t="s">
        <v>7</v>
      </c>
      <c r="E51" s="34">
        <v>10</v>
      </c>
      <c r="F51" s="35">
        <v>19593.45</v>
      </c>
      <c r="G51" s="35">
        <v>195934.5</v>
      </c>
      <c r="H51" s="35" t="s">
        <v>397</v>
      </c>
      <c r="I51" s="35"/>
    </row>
    <row r="52" spans="1:9" x14ac:dyDescent="0.25">
      <c r="A52" s="94"/>
      <c r="B52" s="97"/>
      <c r="C52" s="112" t="s">
        <v>297</v>
      </c>
      <c r="D52" s="26" t="s">
        <v>7</v>
      </c>
      <c r="E52" s="34">
        <v>32</v>
      </c>
      <c r="F52" s="35"/>
      <c r="G52" s="35">
        <v>4318.72</v>
      </c>
      <c r="H52" s="35" t="s">
        <v>397</v>
      </c>
    </row>
    <row r="53" spans="1:9" ht="25.5" x14ac:dyDescent="0.25">
      <c r="A53" s="40"/>
      <c r="B53" s="98"/>
      <c r="C53" s="107" t="s">
        <v>9</v>
      </c>
      <c r="D53" s="40"/>
      <c r="E53" s="41"/>
      <c r="F53" s="42"/>
      <c r="G53" s="42">
        <f>SUM(G51:G52)</f>
        <v>200253.22</v>
      </c>
      <c r="H53" s="40"/>
    </row>
    <row r="54" spans="1:9" x14ac:dyDescent="0.25">
      <c r="A54" s="92">
        <v>10</v>
      </c>
      <c r="B54" s="95" t="s">
        <v>32</v>
      </c>
      <c r="C54" s="112" t="s">
        <v>347</v>
      </c>
      <c r="D54" s="26" t="s">
        <v>7</v>
      </c>
      <c r="E54" s="34">
        <v>10</v>
      </c>
      <c r="F54" s="35">
        <v>19593.45</v>
      </c>
      <c r="G54" s="35">
        <v>195934.5</v>
      </c>
      <c r="H54" s="35" t="s">
        <v>397</v>
      </c>
    </row>
    <row r="55" spans="1:9" x14ac:dyDescent="0.25">
      <c r="A55" s="93"/>
      <c r="B55" s="96"/>
      <c r="C55" s="57" t="s">
        <v>442</v>
      </c>
      <c r="D55" s="26" t="s">
        <v>7</v>
      </c>
      <c r="E55" s="34">
        <v>3</v>
      </c>
      <c r="F55" s="35">
        <v>8.1</v>
      </c>
      <c r="G55" s="35">
        <v>24.3</v>
      </c>
      <c r="H55" s="35" t="s">
        <v>397</v>
      </c>
    </row>
    <row r="56" spans="1:9" x14ac:dyDescent="0.25">
      <c r="A56" s="94"/>
      <c r="B56" s="97"/>
      <c r="C56" s="57" t="s">
        <v>443</v>
      </c>
      <c r="D56" s="26" t="s">
        <v>7</v>
      </c>
      <c r="E56" s="34">
        <v>1</v>
      </c>
      <c r="F56" s="35">
        <v>4.45</v>
      </c>
      <c r="G56" s="35">
        <v>4.45</v>
      </c>
      <c r="H56" s="35" t="s">
        <v>397</v>
      </c>
    </row>
    <row r="57" spans="1:9" ht="25.5" x14ac:dyDescent="0.25">
      <c r="A57" s="40"/>
      <c r="B57" s="98"/>
      <c r="C57" s="107" t="s">
        <v>9</v>
      </c>
      <c r="D57" s="40"/>
      <c r="E57" s="41"/>
      <c r="F57" s="42"/>
      <c r="G57" s="42">
        <f>SUM(G54:G56)</f>
        <v>195963.25</v>
      </c>
      <c r="H57" s="40"/>
    </row>
    <row r="58" spans="1:9" x14ac:dyDescent="0.25">
      <c r="A58" s="92">
        <v>11</v>
      </c>
      <c r="B58" s="95" t="s">
        <v>69</v>
      </c>
      <c r="C58" s="112" t="s">
        <v>347</v>
      </c>
      <c r="D58" s="26" t="s">
        <v>7</v>
      </c>
      <c r="E58" s="34">
        <v>10</v>
      </c>
      <c r="F58" s="35">
        <v>19593.45</v>
      </c>
      <c r="G58" s="35">
        <v>195934.5</v>
      </c>
      <c r="H58" s="35" t="s">
        <v>397</v>
      </c>
    </row>
    <row r="59" spans="1:9" x14ac:dyDescent="0.25">
      <c r="A59" s="93"/>
      <c r="B59" s="96"/>
      <c r="C59" s="112" t="s">
        <v>297</v>
      </c>
      <c r="D59" s="26" t="s">
        <v>7</v>
      </c>
      <c r="E59" s="34">
        <f>67+22</f>
        <v>89</v>
      </c>
      <c r="F59" s="35"/>
      <c r="G59" s="35">
        <f>9343.15+2887.5</f>
        <v>12230.65</v>
      </c>
      <c r="H59" s="35"/>
    </row>
    <row r="60" spans="1:9" x14ac:dyDescent="0.25">
      <c r="A60" s="93"/>
      <c r="B60" s="96"/>
      <c r="C60" s="57" t="s">
        <v>442</v>
      </c>
      <c r="D60" s="26" t="s">
        <v>7</v>
      </c>
      <c r="E60" s="34">
        <v>3</v>
      </c>
      <c r="F60" s="35">
        <v>8.1</v>
      </c>
      <c r="G60" s="35">
        <v>24.3</v>
      </c>
      <c r="H60" s="35"/>
    </row>
    <row r="61" spans="1:9" x14ac:dyDescent="0.25">
      <c r="A61" s="94"/>
      <c r="B61" s="97"/>
      <c r="C61" s="57" t="s">
        <v>443</v>
      </c>
      <c r="D61" s="26" t="s">
        <v>7</v>
      </c>
      <c r="E61" s="34">
        <v>1</v>
      </c>
      <c r="F61" s="35">
        <v>4.45</v>
      </c>
      <c r="G61" s="35">
        <v>4.45</v>
      </c>
      <c r="H61" s="35"/>
    </row>
    <row r="62" spans="1:9" ht="25.5" x14ac:dyDescent="0.25">
      <c r="A62" s="40"/>
      <c r="B62" s="98"/>
      <c r="C62" s="107" t="s">
        <v>9</v>
      </c>
      <c r="D62" s="40"/>
      <c r="E62" s="41"/>
      <c r="F62" s="42"/>
      <c r="G62" s="42">
        <f>SUM(G58:G61)</f>
        <v>208193.9</v>
      </c>
      <c r="H62" s="40"/>
    </row>
    <row r="63" spans="1:9" x14ac:dyDescent="0.25">
      <c r="A63" s="82">
        <v>12</v>
      </c>
      <c r="B63" s="88" t="s">
        <v>91</v>
      </c>
      <c r="C63" s="112" t="s">
        <v>347</v>
      </c>
      <c r="D63" s="26" t="s">
        <v>7</v>
      </c>
      <c r="E63" s="34">
        <v>10</v>
      </c>
      <c r="F63" s="35">
        <v>19593.45</v>
      </c>
      <c r="G63" s="35">
        <v>195934.5</v>
      </c>
      <c r="H63" s="26" t="s">
        <v>398</v>
      </c>
    </row>
    <row r="64" spans="1:9" x14ac:dyDescent="0.25">
      <c r="A64" s="87"/>
      <c r="B64" s="89"/>
      <c r="C64" s="57" t="s">
        <v>442</v>
      </c>
      <c r="D64" s="26" t="s">
        <v>7</v>
      </c>
      <c r="E64" s="34">
        <v>3</v>
      </c>
      <c r="F64" s="35">
        <v>8.1</v>
      </c>
      <c r="G64" s="35">
        <v>24.3</v>
      </c>
      <c r="H64" s="26"/>
    </row>
    <row r="65" spans="1:8" x14ac:dyDescent="0.25">
      <c r="A65" s="83"/>
      <c r="B65" s="90"/>
      <c r="C65" s="57" t="s">
        <v>443</v>
      </c>
      <c r="D65" s="26" t="s">
        <v>7</v>
      </c>
      <c r="E65" s="34">
        <v>1</v>
      </c>
      <c r="F65" s="35">
        <v>4.45</v>
      </c>
      <c r="G65" s="35">
        <v>4.45</v>
      </c>
      <c r="H65" s="26"/>
    </row>
    <row r="66" spans="1:8" ht="25.5" x14ac:dyDescent="0.25">
      <c r="A66" s="40"/>
      <c r="B66" s="98"/>
      <c r="C66" s="107" t="s">
        <v>9</v>
      </c>
      <c r="D66" s="40"/>
      <c r="E66" s="41"/>
      <c r="F66" s="42"/>
      <c r="G66" s="42">
        <f>SUM(G63:G65)</f>
        <v>195963.25</v>
      </c>
      <c r="H66" s="40">
        <f>SUM(H63:H63)</f>
        <v>0</v>
      </c>
    </row>
    <row r="67" spans="1:8" x14ac:dyDescent="0.25">
      <c r="A67" s="92">
        <v>13</v>
      </c>
      <c r="B67" s="95" t="s">
        <v>35</v>
      </c>
      <c r="C67" s="112" t="s">
        <v>347</v>
      </c>
      <c r="D67" s="26" t="s">
        <v>7</v>
      </c>
      <c r="E67" s="34">
        <v>10</v>
      </c>
      <c r="F67" s="35">
        <v>19593.45</v>
      </c>
      <c r="G67" s="35">
        <v>195934.5</v>
      </c>
      <c r="H67" s="35" t="s">
        <v>397</v>
      </c>
    </row>
    <row r="68" spans="1:8" x14ac:dyDescent="0.25">
      <c r="A68" s="93"/>
      <c r="B68" s="96"/>
      <c r="C68" s="112" t="s">
        <v>297</v>
      </c>
      <c r="D68" s="26" t="s">
        <v>7</v>
      </c>
      <c r="E68" s="34">
        <v>74</v>
      </c>
      <c r="F68" s="35"/>
      <c r="G68" s="35">
        <v>9987.0400000000009</v>
      </c>
      <c r="H68" s="35" t="s">
        <v>397</v>
      </c>
    </row>
    <row r="69" spans="1:8" x14ac:dyDescent="0.25">
      <c r="A69" s="93"/>
      <c r="B69" s="96"/>
      <c r="C69" s="57" t="s">
        <v>442</v>
      </c>
      <c r="D69" s="26" t="s">
        <v>7</v>
      </c>
      <c r="E69" s="34">
        <v>5</v>
      </c>
      <c r="F69" s="35">
        <v>8.1</v>
      </c>
      <c r="G69" s="35">
        <v>40.5</v>
      </c>
      <c r="H69" s="35"/>
    </row>
    <row r="70" spans="1:8" x14ac:dyDescent="0.25">
      <c r="A70" s="94"/>
      <c r="B70" s="97"/>
      <c r="C70" s="57" t="s">
        <v>443</v>
      </c>
      <c r="D70" s="26" t="s">
        <v>7</v>
      </c>
      <c r="E70" s="34">
        <v>1</v>
      </c>
      <c r="F70" s="35">
        <v>4.45</v>
      </c>
      <c r="G70" s="35">
        <v>4.45</v>
      </c>
      <c r="H70" s="35"/>
    </row>
    <row r="71" spans="1:8" ht="25.5" x14ac:dyDescent="0.25">
      <c r="A71" s="40"/>
      <c r="B71" s="98"/>
      <c r="C71" s="107" t="s">
        <v>9</v>
      </c>
      <c r="D71" s="40"/>
      <c r="E71" s="41"/>
      <c r="F71" s="42"/>
      <c r="G71" s="42">
        <f>SUM(G67:G70)</f>
        <v>205966.49000000002</v>
      </c>
      <c r="H71" s="40"/>
    </row>
    <row r="72" spans="1:8" x14ac:dyDescent="0.25">
      <c r="A72" s="82">
        <v>14</v>
      </c>
      <c r="B72" s="88" t="s">
        <v>36</v>
      </c>
      <c r="C72" s="112" t="s">
        <v>347</v>
      </c>
      <c r="D72" s="26" t="s">
        <v>7</v>
      </c>
      <c r="E72" s="34">
        <v>20</v>
      </c>
      <c r="F72" s="35">
        <v>19593.45</v>
      </c>
      <c r="G72" s="35">
        <v>391869</v>
      </c>
      <c r="H72" s="35" t="s">
        <v>397</v>
      </c>
    </row>
    <row r="73" spans="1:8" x14ac:dyDescent="0.25">
      <c r="A73" s="87"/>
      <c r="B73" s="89"/>
      <c r="C73" s="57" t="s">
        <v>442</v>
      </c>
      <c r="D73" s="26" t="s">
        <v>7</v>
      </c>
      <c r="E73" s="34">
        <v>3</v>
      </c>
      <c r="F73" s="35">
        <v>8.1</v>
      </c>
      <c r="G73" s="35">
        <v>24.3</v>
      </c>
      <c r="H73" s="35" t="s">
        <v>397</v>
      </c>
    </row>
    <row r="74" spans="1:8" x14ac:dyDescent="0.25">
      <c r="A74" s="83"/>
      <c r="B74" s="90"/>
      <c r="C74" s="57" t="s">
        <v>443</v>
      </c>
      <c r="D74" s="26" t="s">
        <v>7</v>
      </c>
      <c r="E74" s="34">
        <v>1</v>
      </c>
      <c r="F74" s="35">
        <v>4.45</v>
      </c>
      <c r="G74" s="35">
        <v>4.45</v>
      </c>
      <c r="H74" s="35" t="s">
        <v>397</v>
      </c>
    </row>
    <row r="75" spans="1:8" ht="25.5" x14ac:dyDescent="0.25">
      <c r="A75" s="40"/>
      <c r="B75" s="98"/>
      <c r="C75" s="107" t="s">
        <v>9</v>
      </c>
      <c r="D75" s="40"/>
      <c r="E75" s="41"/>
      <c r="F75" s="42"/>
      <c r="G75" s="42">
        <f>SUM(G72:G74)</f>
        <v>391897.75</v>
      </c>
      <c r="H75" s="40">
        <f>SUM(H72:H74)</f>
        <v>0</v>
      </c>
    </row>
    <row r="76" spans="1:8" x14ac:dyDescent="0.25">
      <c r="A76" s="92">
        <v>15</v>
      </c>
      <c r="B76" s="95" t="s">
        <v>37</v>
      </c>
      <c r="C76" s="112" t="s">
        <v>347</v>
      </c>
      <c r="D76" s="26" t="s">
        <v>7</v>
      </c>
      <c r="E76" s="34">
        <v>30</v>
      </c>
      <c r="F76" s="35">
        <v>19593.45</v>
      </c>
      <c r="G76" s="35">
        <v>587803.5</v>
      </c>
      <c r="H76" s="35" t="s">
        <v>397</v>
      </c>
    </row>
    <row r="77" spans="1:8" x14ac:dyDescent="0.25">
      <c r="A77" s="93"/>
      <c r="B77" s="96"/>
      <c r="C77" s="57" t="s">
        <v>442</v>
      </c>
      <c r="D77" s="26" t="s">
        <v>7</v>
      </c>
      <c r="E77" s="34">
        <v>4</v>
      </c>
      <c r="F77" s="35">
        <v>8.1</v>
      </c>
      <c r="G77" s="35">
        <v>32.4</v>
      </c>
      <c r="H77" s="35"/>
    </row>
    <row r="78" spans="1:8" x14ac:dyDescent="0.25">
      <c r="A78" s="94"/>
      <c r="B78" s="97"/>
      <c r="C78" s="57" t="s">
        <v>443</v>
      </c>
      <c r="D78" s="26" t="s">
        <v>7</v>
      </c>
      <c r="E78" s="34">
        <v>1</v>
      </c>
      <c r="F78" s="35">
        <v>4.45</v>
      </c>
      <c r="G78" s="35">
        <v>4.45</v>
      </c>
      <c r="H78" s="35"/>
    </row>
    <row r="79" spans="1:8" ht="25.5" x14ac:dyDescent="0.25">
      <c r="A79" s="40"/>
      <c r="B79" s="98"/>
      <c r="C79" s="107" t="s">
        <v>9</v>
      </c>
      <c r="D79" s="40"/>
      <c r="E79" s="41"/>
      <c r="F79" s="42"/>
      <c r="G79" s="42">
        <f>SUM(G76:G78)</f>
        <v>587840.35</v>
      </c>
      <c r="H79" s="40">
        <f>SUM(H76:H76)</f>
        <v>0</v>
      </c>
    </row>
    <row r="80" spans="1:8" x14ac:dyDescent="0.25">
      <c r="A80" s="82">
        <v>16</v>
      </c>
      <c r="B80" s="88" t="s">
        <v>38</v>
      </c>
      <c r="C80" s="112" t="s">
        <v>347</v>
      </c>
      <c r="D80" s="26" t="s">
        <v>7</v>
      </c>
      <c r="E80" s="34">
        <v>30</v>
      </c>
      <c r="F80" s="35">
        <v>19593.45</v>
      </c>
      <c r="G80" s="35">
        <v>587803.5</v>
      </c>
      <c r="H80" s="35" t="s">
        <v>397</v>
      </c>
    </row>
    <row r="81" spans="1:8" x14ac:dyDescent="0.25">
      <c r="A81" s="87"/>
      <c r="B81" s="89"/>
      <c r="C81" s="112" t="s">
        <v>297</v>
      </c>
      <c r="D81" s="26" t="s">
        <v>7</v>
      </c>
      <c r="E81" s="34">
        <v>60</v>
      </c>
      <c r="F81" s="35"/>
      <c r="G81" s="35">
        <v>8097.6</v>
      </c>
      <c r="H81" s="35" t="s">
        <v>398</v>
      </c>
    </row>
    <row r="82" spans="1:8" x14ac:dyDescent="0.25">
      <c r="A82" s="87"/>
      <c r="B82" s="89"/>
      <c r="C82" s="112" t="s">
        <v>324</v>
      </c>
      <c r="D82" s="26" t="s">
        <v>7</v>
      </c>
      <c r="E82" s="37">
        <f>1+2+2+5</f>
        <v>10</v>
      </c>
      <c r="F82" s="38">
        <f>G82/E82</f>
        <v>386.99799999999999</v>
      </c>
      <c r="G82" s="38">
        <f>396.05+865.99+967.96+1639.98</f>
        <v>3869.98</v>
      </c>
      <c r="H82" s="35" t="s">
        <v>398</v>
      </c>
    </row>
    <row r="83" spans="1:8" x14ac:dyDescent="0.25">
      <c r="A83" s="87"/>
      <c r="B83" s="89"/>
      <c r="C83" s="112" t="s">
        <v>325</v>
      </c>
      <c r="D83" s="26" t="s">
        <v>7</v>
      </c>
      <c r="E83" s="37">
        <v>1</v>
      </c>
      <c r="F83" s="38">
        <f t="shared" ref="F83:F87" si="1">G83/E83</f>
        <v>112</v>
      </c>
      <c r="G83" s="38">
        <v>112</v>
      </c>
      <c r="H83" s="35" t="s">
        <v>398</v>
      </c>
    </row>
    <row r="84" spans="1:8" x14ac:dyDescent="0.25">
      <c r="A84" s="87"/>
      <c r="B84" s="89"/>
      <c r="C84" s="112" t="s">
        <v>73</v>
      </c>
      <c r="D84" s="26" t="s">
        <v>7</v>
      </c>
      <c r="E84" s="37">
        <v>10</v>
      </c>
      <c r="F84" s="38">
        <f t="shared" si="1"/>
        <v>50.004000000000005</v>
      </c>
      <c r="G84" s="38">
        <v>500.04</v>
      </c>
      <c r="H84" s="35" t="s">
        <v>398</v>
      </c>
    </row>
    <row r="85" spans="1:8" x14ac:dyDescent="0.25">
      <c r="A85" s="87"/>
      <c r="B85" s="89"/>
      <c r="C85" s="112" t="s">
        <v>449</v>
      </c>
      <c r="D85" s="26" t="s">
        <v>7</v>
      </c>
      <c r="E85" s="37">
        <v>5</v>
      </c>
      <c r="F85" s="38">
        <f t="shared" si="1"/>
        <v>114.99600000000001</v>
      </c>
      <c r="G85" s="38">
        <v>574.98</v>
      </c>
      <c r="H85" s="35" t="s">
        <v>398</v>
      </c>
    </row>
    <row r="86" spans="1:8" x14ac:dyDescent="0.25">
      <c r="A86" s="87"/>
      <c r="B86" s="89"/>
      <c r="C86" s="112" t="s">
        <v>450</v>
      </c>
      <c r="D86" s="26" t="s">
        <v>452</v>
      </c>
      <c r="E86" s="37">
        <v>2</v>
      </c>
      <c r="F86" s="38">
        <f t="shared" si="1"/>
        <v>126</v>
      </c>
      <c r="G86" s="38">
        <v>252</v>
      </c>
      <c r="H86" s="35"/>
    </row>
    <row r="87" spans="1:8" x14ac:dyDescent="0.25">
      <c r="A87" s="83"/>
      <c r="B87" s="90"/>
      <c r="C87" s="112" t="s">
        <v>451</v>
      </c>
      <c r="D87" s="26" t="s">
        <v>7</v>
      </c>
      <c r="E87" s="37">
        <v>2</v>
      </c>
      <c r="F87" s="38">
        <f t="shared" si="1"/>
        <v>390</v>
      </c>
      <c r="G87" s="38">
        <v>780</v>
      </c>
      <c r="H87" s="35" t="s">
        <v>398</v>
      </c>
    </row>
    <row r="88" spans="1:8" ht="25.5" x14ac:dyDescent="0.25">
      <c r="A88" s="40"/>
      <c r="B88" s="98"/>
      <c r="C88" s="107" t="s">
        <v>9</v>
      </c>
      <c r="D88" s="40"/>
      <c r="E88" s="41"/>
      <c r="F88" s="42"/>
      <c r="G88" s="42">
        <f>SUM(G80:G87)</f>
        <v>601990.1</v>
      </c>
      <c r="H88" s="40">
        <f>SUM(H80:H87)</f>
        <v>0</v>
      </c>
    </row>
    <row r="89" spans="1:8" x14ac:dyDescent="0.25">
      <c r="A89" s="92">
        <v>17</v>
      </c>
      <c r="B89" s="95" t="s">
        <v>44</v>
      </c>
      <c r="C89" s="112" t="s">
        <v>347</v>
      </c>
      <c r="D89" s="26" t="s">
        <v>7</v>
      </c>
      <c r="E89" s="34">
        <v>30</v>
      </c>
      <c r="F89" s="35">
        <v>19593.45</v>
      </c>
      <c r="G89" s="35">
        <v>587803.5</v>
      </c>
      <c r="H89" s="35" t="s">
        <v>397</v>
      </c>
    </row>
    <row r="90" spans="1:8" x14ac:dyDescent="0.25">
      <c r="A90" s="93"/>
      <c r="B90" s="96"/>
      <c r="C90" s="112" t="s">
        <v>297</v>
      </c>
      <c r="D90" s="26" t="s">
        <v>7</v>
      </c>
      <c r="E90" s="34">
        <v>60</v>
      </c>
      <c r="F90" s="35"/>
      <c r="G90" s="35">
        <v>8097.6</v>
      </c>
      <c r="H90" s="35"/>
    </row>
    <row r="91" spans="1:8" x14ac:dyDescent="0.25">
      <c r="A91" s="93"/>
      <c r="B91" s="96"/>
      <c r="C91" s="57" t="s">
        <v>442</v>
      </c>
      <c r="D91" s="26" t="s">
        <v>7</v>
      </c>
      <c r="E91" s="34">
        <v>3</v>
      </c>
      <c r="F91" s="35">
        <v>8.1</v>
      </c>
      <c r="G91" s="35">
        <v>24.3</v>
      </c>
      <c r="H91" s="35"/>
    </row>
    <row r="92" spans="1:8" x14ac:dyDescent="0.25">
      <c r="A92" s="93"/>
      <c r="B92" s="96"/>
      <c r="C92" s="57" t="s">
        <v>443</v>
      </c>
      <c r="D92" s="26" t="s">
        <v>7</v>
      </c>
      <c r="E92" s="34">
        <v>1</v>
      </c>
      <c r="F92" s="35">
        <v>4.45</v>
      </c>
      <c r="G92" s="35">
        <v>4.45</v>
      </c>
      <c r="H92" s="35"/>
    </row>
    <row r="93" spans="1:8" x14ac:dyDescent="0.25">
      <c r="A93" s="94"/>
      <c r="B93" s="97"/>
      <c r="C93" s="112" t="s">
        <v>453</v>
      </c>
      <c r="D93" s="26" t="s">
        <v>7</v>
      </c>
      <c r="E93" s="34">
        <v>1</v>
      </c>
      <c r="F93" s="35">
        <v>13000</v>
      </c>
      <c r="G93" s="35">
        <v>13000</v>
      </c>
      <c r="H93" s="35"/>
    </row>
    <row r="94" spans="1:8" ht="25.5" x14ac:dyDescent="0.25">
      <c r="A94" s="40"/>
      <c r="B94" s="98"/>
      <c r="C94" s="107" t="s">
        <v>9</v>
      </c>
      <c r="D94" s="40"/>
      <c r="E94" s="41"/>
      <c r="F94" s="42"/>
      <c r="G94" s="42">
        <f>SUM(G89:H93)</f>
        <v>608929.85</v>
      </c>
      <c r="H94" s="40"/>
    </row>
    <row r="95" spans="1:8" s="44" customFormat="1" x14ac:dyDescent="0.25">
      <c r="A95" s="92">
        <v>18</v>
      </c>
      <c r="B95" s="95" t="s">
        <v>141</v>
      </c>
      <c r="C95" s="112" t="s">
        <v>347</v>
      </c>
      <c r="D95" s="26" t="s">
        <v>7</v>
      </c>
      <c r="E95" s="34">
        <v>10</v>
      </c>
      <c r="F95" s="35">
        <v>19593.45</v>
      </c>
      <c r="G95" s="35">
        <v>195934.5</v>
      </c>
      <c r="H95" s="35" t="s">
        <v>397</v>
      </c>
    </row>
    <row r="96" spans="1:8" s="44" customFormat="1" x14ac:dyDescent="0.25">
      <c r="A96" s="94"/>
      <c r="B96" s="97"/>
      <c r="C96" s="112" t="s">
        <v>297</v>
      </c>
      <c r="D96" s="26" t="s">
        <v>7</v>
      </c>
      <c r="E96" s="34">
        <v>61</v>
      </c>
      <c r="F96" s="35"/>
      <c r="G96" s="35">
        <v>7460.3</v>
      </c>
      <c r="H96" s="35"/>
    </row>
    <row r="97" spans="1:8" ht="25.5" x14ac:dyDescent="0.25">
      <c r="A97" s="40"/>
      <c r="B97" s="98"/>
      <c r="C97" s="107" t="s">
        <v>9</v>
      </c>
      <c r="D97" s="40"/>
      <c r="E97" s="41"/>
      <c r="F97" s="42"/>
      <c r="G97" s="42">
        <f>SUM(G95:G96)</f>
        <v>203394.8</v>
      </c>
      <c r="H97" s="40"/>
    </row>
    <row r="98" spans="1:8" x14ac:dyDescent="0.25">
      <c r="A98" s="82">
        <v>19</v>
      </c>
      <c r="B98" s="88" t="s">
        <v>40</v>
      </c>
      <c r="C98" s="112" t="s">
        <v>347</v>
      </c>
      <c r="D98" s="26" t="s">
        <v>7</v>
      </c>
      <c r="E98" s="34">
        <v>30</v>
      </c>
      <c r="F98" s="35">
        <v>19593.45</v>
      </c>
      <c r="G98" s="35">
        <v>587803.5</v>
      </c>
      <c r="H98" s="26"/>
    </row>
    <row r="99" spans="1:8" x14ac:dyDescent="0.25">
      <c r="A99" s="87"/>
      <c r="B99" s="89"/>
      <c r="C99" s="112" t="s">
        <v>297</v>
      </c>
      <c r="D99" s="26" t="s">
        <v>7</v>
      </c>
      <c r="E99" s="34">
        <v>20</v>
      </c>
      <c r="F99" s="35"/>
      <c r="G99" s="35">
        <f>2699.8</f>
        <v>2699.8</v>
      </c>
      <c r="H99" s="26"/>
    </row>
    <row r="100" spans="1:8" x14ac:dyDescent="0.25">
      <c r="A100" s="87"/>
      <c r="B100" s="89"/>
      <c r="C100" s="112" t="s">
        <v>297</v>
      </c>
      <c r="D100" s="26" t="s">
        <v>7</v>
      </c>
      <c r="E100" s="34">
        <v>22</v>
      </c>
      <c r="F100" s="35"/>
      <c r="G100" s="35">
        <v>2969.12</v>
      </c>
      <c r="H100" s="26"/>
    </row>
    <row r="101" spans="1:8" x14ac:dyDescent="0.25">
      <c r="A101" s="87"/>
      <c r="B101" s="89"/>
      <c r="C101" s="57" t="s">
        <v>442</v>
      </c>
      <c r="D101" s="26" t="s">
        <v>7</v>
      </c>
      <c r="E101" s="34">
        <v>3</v>
      </c>
      <c r="F101" s="35">
        <v>8.1</v>
      </c>
      <c r="G101" s="35">
        <v>24.3</v>
      </c>
      <c r="H101" s="26"/>
    </row>
    <row r="102" spans="1:8" x14ac:dyDescent="0.25">
      <c r="A102" s="83"/>
      <c r="B102" s="90"/>
      <c r="C102" s="57" t="s">
        <v>443</v>
      </c>
      <c r="D102" s="26" t="s">
        <v>7</v>
      </c>
      <c r="E102" s="34">
        <v>1</v>
      </c>
      <c r="F102" s="35">
        <v>4.45</v>
      </c>
      <c r="G102" s="35">
        <v>4.45</v>
      </c>
      <c r="H102" s="26"/>
    </row>
    <row r="103" spans="1:8" ht="25.5" x14ac:dyDescent="0.25">
      <c r="A103" s="40"/>
      <c r="B103" s="98"/>
      <c r="C103" s="107" t="s">
        <v>9</v>
      </c>
      <c r="D103" s="40"/>
      <c r="E103" s="41"/>
      <c r="F103" s="42"/>
      <c r="G103" s="42">
        <f>SUM(G98:G102)</f>
        <v>593501.17000000004</v>
      </c>
      <c r="H103" s="40">
        <f>SUM(H98:H98)</f>
        <v>0</v>
      </c>
    </row>
    <row r="104" spans="1:8" x14ac:dyDescent="0.25">
      <c r="A104" s="92">
        <v>20</v>
      </c>
      <c r="B104" s="95" t="s">
        <v>41</v>
      </c>
      <c r="C104" s="112" t="s">
        <v>347</v>
      </c>
      <c r="D104" s="26" t="s">
        <v>7</v>
      </c>
      <c r="E104" s="34">
        <v>20</v>
      </c>
      <c r="F104" s="35">
        <v>19593.45</v>
      </c>
      <c r="G104" s="35">
        <v>391869</v>
      </c>
      <c r="H104" s="35" t="s">
        <v>397</v>
      </c>
    </row>
    <row r="105" spans="1:8" x14ac:dyDescent="0.25">
      <c r="A105" s="93"/>
      <c r="B105" s="96"/>
      <c r="C105" s="112" t="s">
        <v>297</v>
      </c>
      <c r="D105" s="26" t="s">
        <v>7</v>
      </c>
      <c r="E105" s="34">
        <v>60</v>
      </c>
      <c r="F105" s="35"/>
      <c r="G105" s="35">
        <v>7338</v>
      </c>
      <c r="H105" s="35" t="s">
        <v>397</v>
      </c>
    </row>
    <row r="106" spans="1:8" x14ac:dyDescent="0.25">
      <c r="A106" s="93"/>
      <c r="B106" s="96"/>
      <c r="C106" s="57" t="s">
        <v>442</v>
      </c>
      <c r="D106" s="26" t="s">
        <v>7</v>
      </c>
      <c r="E106" s="34">
        <v>3</v>
      </c>
      <c r="F106" s="35">
        <v>8.1</v>
      </c>
      <c r="G106" s="35">
        <v>24.3</v>
      </c>
      <c r="H106" s="35" t="s">
        <v>397</v>
      </c>
    </row>
    <row r="107" spans="1:8" x14ac:dyDescent="0.25">
      <c r="A107" s="94"/>
      <c r="B107" s="97"/>
      <c r="C107" s="57" t="s">
        <v>443</v>
      </c>
      <c r="D107" s="26" t="s">
        <v>7</v>
      </c>
      <c r="E107" s="34">
        <v>1</v>
      </c>
      <c r="F107" s="35">
        <v>4.45</v>
      </c>
      <c r="G107" s="35">
        <v>4.45</v>
      </c>
      <c r="H107" s="35" t="s">
        <v>397</v>
      </c>
    </row>
    <row r="108" spans="1:8" ht="25.5" x14ac:dyDescent="0.25">
      <c r="A108" s="40"/>
      <c r="B108" s="98"/>
      <c r="C108" s="107" t="s">
        <v>9</v>
      </c>
      <c r="D108" s="40"/>
      <c r="E108" s="41"/>
      <c r="F108" s="42"/>
      <c r="G108" s="42">
        <f>SUM(G104:G107)</f>
        <v>399235.75</v>
      </c>
      <c r="H108" s="40">
        <f>SUM(H104:H107)</f>
        <v>0</v>
      </c>
    </row>
    <row r="109" spans="1:8" x14ac:dyDescent="0.25">
      <c r="A109" s="92">
        <v>21</v>
      </c>
      <c r="B109" s="95" t="s">
        <v>70</v>
      </c>
      <c r="C109" s="112" t="s">
        <v>347</v>
      </c>
      <c r="D109" s="26" t="s">
        <v>7</v>
      </c>
      <c r="E109" s="34">
        <v>10</v>
      </c>
      <c r="F109" s="35">
        <v>19593.45</v>
      </c>
      <c r="G109" s="35">
        <v>195934.5</v>
      </c>
      <c r="H109" s="35" t="s">
        <v>397</v>
      </c>
    </row>
    <row r="110" spans="1:8" x14ac:dyDescent="0.25">
      <c r="A110" s="94"/>
      <c r="B110" s="97"/>
      <c r="C110" s="112" t="s">
        <v>297</v>
      </c>
      <c r="D110" s="26" t="s">
        <v>7</v>
      </c>
      <c r="E110" s="34">
        <v>87</v>
      </c>
      <c r="F110" s="35"/>
      <c r="G110" s="35">
        <v>11741.52</v>
      </c>
      <c r="H110" s="35" t="s">
        <v>397</v>
      </c>
    </row>
    <row r="111" spans="1:8" ht="25.5" x14ac:dyDescent="0.25">
      <c r="A111" s="40"/>
      <c r="B111" s="98"/>
      <c r="C111" s="107" t="s">
        <v>9</v>
      </c>
      <c r="D111" s="40"/>
      <c r="E111" s="41"/>
      <c r="F111" s="42"/>
      <c r="G111" s="42">
        <f>SUM(G109:G110)</f>
        <v>207676.02</v>
      </c>
      <c r="H111" s="40">
        <f>SUM(H109:H110)</f>
        <v>0</v>
      </c>
    </row>
    <row r="112" spans="1:8" x14ac:dyDescent="0.25">
      <c r="A112" s="82">
        <v>22</v>
      </c>
      <c r="B112" s="88" t="s">
        <v>42</v>
      </c>
      <c r="C112" s="112" t="s">
        <v>347</v>
      </c>
      <c r="D112" s="26" t="s">
        <v>7</v>
      </c>
      <c r="E112" s="34">
        <v>10</v>
      </c>
      <c r="F112" s="35">
        <v>19593.45</v>
      </c>
      <c r="G112" s="35">
        <v>195934.5</v>
      </c>
      <c r="H112" s="35" t="s">
        <v>397</v>
      </c>
    </row>
    <row r="113" spans="1:9" x14ac:dyDescent="0.25">
      <c r="A113" s="87"/>
      <c r="B113" s="89"/>
      <c r="C113" s="112" t="s">
        <v>297</v>
      </c>
      <c r="D113" s="26" t="s">
        <v>7</v>
      </c>
      <c r="E113" s="34">
        <v>44</v>
      </c>
      <c r="F113" s="35"/>
      <c r="G113" s="35">
        <v>5939.56</v>
      </c>
      <c r="H113" s="35" t="s">
        <v>397</v>
      </c>
    </row>
    <row r="114" spans="1:9" x14ac:dyDescent="0.25">
      <c r="A114" s="87"/>
      <c r="B114" s="89"/>
      <c r="C114" s="57" t="s">
        <v>442</v>
      </c>
      <c r="D114" s="26" t="s">
        <v>7</v>
      </c>
      <c r="E114" s="34">
        <v>3</v>
      </c>
      <c r="F114" s="35">
        <v>8.1</v>
      </c>
      <c r="G114" s="35">
        <v>24.3</v>
      </c>
      <c r="H114" s="35" t="s">
        <v>397</v>
      </c>
    </row>
    <row r="115" spans="1:9" x14ac:dyDescent="0.25">
      <c r="A115" s="83"/>
      <c r="B115" s="90"/>
      <c r="C115" s="57" t="s">
        <v>443</v>
      </c>
      <c r="D115" s="26" t="s">
        <v>7</v>
      </c>
      <c r="E115" s="34">
        <v>1</v>
      </c>
      <c r="F115" s="35">
        <v>4.45</v>
      </c>
      <c r="G115" s="35">
        <v>4.45</v>
      </c>
      <c r="H115" s="35" t="s">
        <v>397</v>
      </c>
    </row>
    <row r="116" spans="1:9" ht="25.5" x14ac:dyDescent="0.25">
      <c r="A116" s="40"/>
      <c r="B116" s="98"/>
      <c r="C116" s="107" t="s">
        <v>9</v>
      </c>
      <c r="D116" s="40"/>
      <c r="E116" s="41"/>
      <c r="F116" s="42"/>
      <c r="G116" s="42">
        <f>SUM(G112:G115)</f>
        <v>201902.81</v>
      </c>
      <c r="H116" s="40">
        <f>SUM(H112:H115)</f>
        <v>0</v>
      </c>
    </row>
    <row r="117" spans="1:9" x14ac:dyDescent="0.25">
      <c r="A117" s="92">
        <v>23</v>
      </c>
      <c r="B117" s="95" t="s">
        <v>439</v>
      </c>
      <c r="C117" s="57" t="s">
        <v>442</v>
      </c>
      <c r="D117" s="26" t="s">
        <v>7</v>
      </c>
      <c r="E117" s="34">
        <v>3</v>
      </c>
      <c r="F117" s="35">
        <v>8.1</v>
      </c>
      <c r="G117" s="35">
        <v>24.3</v>
      </c>
      <c r="H117" s="35" t="s">
        <v>397</v>
      </c>
    </row>
    <row r="118" spans="1:9" x14ac:dyDescent="0.25">
      <c r="A118" s="94"/>
      <c r="B118" s="97"/>
      <c r="C118" s="57" t="s">
        <v>443</v>
      </c>
      <c r="D118" s="26" t="s">
        <v>7</v>
      </c>
      <c r="E118" s="34">
        <v>1</v>
      </c>
      <c r="F118" s="35">
        <v>4.45</v>
      </c>
      <c r="G118" s="35">
        <v>4.45</v>
      </c>
      <c r="H118" s="35" t="s">
        <v>397</v>
      </c>
    </row>
    <row r="119" spans="1:9" ht="25.5" x14ac:dyDescent="0.25">
      <c r="A119" s="40"/>
      <c r="B119" s="98"/>
      <c r="C119" s="107" t="s">
        <v>9</v>
      </c>
      <c r="D119" s="40"/>
      <c r="E119" s="41"/>
      <c r="F119" s="42"/>
      <c r="G119" s="42">
        <f>SUM(G117:G118)</f>
        <v>28.75</v>
      </c>
      <c r="H119" s="40"/>
      <c r="I119" s="39"/>
    </row>
    <row r="120" spans="1:9" x14ac:dyDescent="0.25">
      <c r="A120" s="92">
        <v>24</v>
      </c>
      <c r="B120" s="95" t="s">
        <v>43</v>
      </c>
      <c r="C120" s="112" t="s">
        <v>347</v>
      </c>
      <c r="D120" s="26" t="s">
        <v>7</v>
      </c>
      <c r="E120" s="34">
        <v>30</v>
      </c>
      <c r="F120" s="35">
        <v>19593.45</v>
      </c>
      <c r="G120" s="35">
        <v>587803.5</v>
      </c>
      <c r="H120" s="40"/>
      <c r="I120" s="39"/>
    </row>
    <row r="121" spans="1:9" x14ac:dyDescent="0.25">
      <c r="A121" s="93"/>
      <c r="B121" s="96"/>
      <c r="C121" s="57" t="s">
        <v>442</v>
      </c>
      <c r="D121" s="26" t="s">
        <v>7</v>
      </c>
      <c r="E121" s="34">
        <v>3</v>
      </c>
      <c r="F121" s="35">
        <v>8.1</v>
      </c>
      <c r="G121" s="35">
        <v>24.3</v>
      </c>
      <c r="H121" s="40"/>
      <c r="I121" s="39"/>
    </row>
    <row r="122" spans="1:9" x14ac:dyDescent="0.25">
      <c r="A122" s="94"/>
      <c r="B122" s="97"/>
      <c r="C122" s="57" t="s">
        <v>443</v>
      </c>
      <c r="D122" s="26" t="s">
        <v>7</v>
      </c>
      <c r="E122" s="34">
        <v>1</v>
      </c>
      <c r="F122" s="35">
        <v>4.45</v>
      </c>
      <c r="G122" s="35">
        <v>4.45</v>
      </c>
      <c r="H122" s="40"/>
      <c r="I122" s="39"/>
    </row>
    <row r="123" spans="1:9" x14ac:dyDescent="0.25">
      <c r="A123" s="40"/>
      <c r="B123" s="40"/>
      <c r="C123" s="107"/>
      <c r="D123" s="40"/>
      <c r="E123" s="41"/>
      <c r="F123" s="42"/>
      <c r="G123" s="42">
        <f>SUM(G120:G122)</f>
        <v>587832.25</v>
      </c>
      <c r="H123" s="40"/>
      <c r="I123" s="39"/>
    </row>
    <row r="124" spans="1:9" x14ac:dyDescent="0.25">
      <c r="A124" s="159" t="s">
        <v>440</v>
      </c>
      <c r="B124" s="160"/>
      <c r="C124" s="169"/>
      <c r="D124" s="45"/>
      <c r="E124" s="49"/>
      <c r="F124" s="50"/>
      <c r="G124" s="50">
        <f>G119+G116+G111+G108+G103+G97+G94+G88+G79+G75+G71+G66+G62+G57+G53+G50+G46+G41+G26+G21+G16+G11+G7+G123</f>
        <v>7871234.1799999997</v>
      </c>
      <c r="H124" s="45"/>
      <c r="I124" s="39"/>
    </row>
    <row r="126" spans="1:9" x14ac:dyDescent="0.25">
      <c r="B126" s="36" t="s">
        <v>63</v>
      </c>
    </row>
  </sheetData>
  <mergeCells count="50">
    <mergeCell ref="A112:A115"/>
    <mergeCell ref="B112:B115"/>
    <mergeCell ref="A117:A118"/>
    <mergeCell ref="B117:B118"/>
    <mergeCell ref="A120:A122"/>
    <mergeCell ref="B120:B122"/>
    <mergeCell ref="A98:A102"/>
    <mergeCell ref="B98:B102"/>
    <mergeCell ref="A104:A107"/>
    <mergeCell ref="B104:B107"/>
    <mergeCell ref="A109:A110"/>
    <mergeCell ref="B109:B110"/>
    <mergeCell ref="A80:A87"/>
    <mergeCell ref="B80:B87"/>
    <mergeCell ref="A89:A93"/>
    <mergeCell ref="B89:B93"/>
    <mergeCell ref="A95:A96"/>
    <mergeCell ref="B95:B96"/>
    <mergeCell ref="A63:A65"/>
    <mergeCell ref="B63:B65"/>
    <mergeCell ref="A67:A70"/>
    <mergeCell ref="B67:B70"/>
    <mergeCell ref="A76:A78"/>
    <mergeCell ref="B76:B78"/>
    <mergeCell ref="A42:A45"/>
    <mergeCell ref="B42:B45"/>
    <mergeCell ref="A47:A49"/>
    <mergeCell ref="B47:B49"/>
    <mergeCell ref="A54:A56"/>
    <mergeCell ref="B54:B56"/>
    <mergeCell ref="A72:A74"/>
    <mergeCell ref="B72:B74"/>
    <mergeCell ref="A58:A61"/>
    <mergeCell ref="B58:B61"/>
    <mergeCell ref="A51:A52"/>
    <mergeCell ref="B51:B52"/>
    <mergeCell ref="A1:H1"/>
    <mergeCell ref="A124:B124"/>
    <mergeCell ref="A3:A6"/>
    <mergeCell ref="B3:B6"/>
    <mergeCell ref="A8:A10"/>
    <mergeCell ref="B8:B10"/>
    <mergeCell ref="A12:A15"/>
    <mergeCell ref="B12:B15"/>
    <mergeCell ref="A17:A20"/>
    <mergeCell ref="B17:B20"/>
    <mergeCell ref="A22:A25"/>
    <mergeCell ref="B22:B25"/>
    <mergeCell ref="A27:A40"/>
    <mergeCell ref="B27:B40"/>
  </mergeCells>
  <pageMargins left="0.7" right="0.7" top="0.75" bottom="0.75" header="0.3" footer="0.3"/>
  <pageSetup paperSize="9" scale="78" orientation="portrait" verticalDpi="0" r:id="rId1"/>
  <colBreaks count="1" manualBreakCount="1">
    <brk id="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9"/>
  <sheetViews>
    <sheetView workbookViewId="0">
      <selection activeCell="C11" sqref="C11"/>
    </sheetView>
  </sheetViews>
  <sheetFormatPr defaultRowHeight="15" x14ac:dyDescent="0.25"/>
  <cols>
    <col min="1" max="1" width="3.85546875" style="36" customWidth="1"/>
    <col min="2" max="2" width="26.140625" style="36" customWidth="1"/>
    <col min="3" max="3" width="37.140625" style="170" customWidth="1"/>
    <col min="4" max="4" width="7" style="36" customWidth="1"/>
    <col min="5" max="5" width="9.140625" style="52" customWidth="1"/>
    <col min="6" max="6" width="14.7109375" style="39" customWidth="1"/>
    <col min="7" max="7" width="13.85546875" style="39" customWidth="1"/>
    <col min="8" max="8" width="22.85546875" style="36" hidden="1" customWidth="1"/>
    <col min="9" max="9" width="20.7109375" style="36" customWidth="1"/>
    <col min="10" max="16384" width="9.140625" style="36"/>
  </cols>
  <sheetData>
    <row r="1" spans="1:8" ht="18.75" x14ac:dyDescent="0.25">
      <c r="A1" s="86" t="s">
        <v>455</v>
      </c>
      <c r="B1" s="86"/>
      <c r="C1" s="86"/>
      <c r="D1" s="86"/>
      <c r="E1" s="86"/>
      <c r="F1" s="86"/>
      <c r="G1" s="86"/>
      <c r="H1" s="86"/>
    </row>
    <row r="2" spans="1:8" ht="47.25" x14ac:dyDescent="0.25">
      <c r="A2" s="22" t="s">
        <v>0</v>
      </c>
      <c r="B2" s="23" t="s">
        <v>1</v>
      </c>
      <c r="C2" s="166" t="s">
        <v>2</v>
      </c>
      <c r="D2" s="22" t="s">
        <v>3</v>
      </c>
      <c r="E2" s="24" t="s">
        <v>4</v>
      </c>
      <c r="F2" s="25" t="s">
        <v>5</v>
      </c>
      <c r="G2" s="25" t="s">
        <v>6</v>
      </c>
      <c r="H2" s="20" t="s">
        <v>54</v>
      </c>
    </row>
    <row r="3" spans="1:8" ht="15.75" x14ac:dyDescent="0.25">
      <c r="A3" s="116">
        <v>1</v>
      </c>
      <c r="B3" s="88" t="s">
        <v>55</v>
      </c>
      <c r="C3" s="31" t="s">
        <v>456</v>
      </c>
      <c r="D3" s="27" t="s">
        <v>7</v>
      </c>
      <c r="E3" s="28">
        <v>4</v>
      </c>
      <c r="F3" s="147">
        <v>366</v>
      </c>
      <c r="G3" s="147">
        <v>1464</v>
      </c>
      <c r="H3" s="20"/>
    </row>
    <row r="4" spans="1:8" ht="15.75" x14ac:dyDescent="0.25">
      <c r="A4" s="117"/>
      <c r="B4" s="89"/>
      <c r="C4" s="31" t="s">
        <v>457</v>
      </c>
      <c r="D4" s="27" t="s">
        <v>7</v>
      </c>
      <c r="E4" s="28">
        <v>1</v>
      </c>
      <c r="F4" s="147">
        <v>2346</v>
      </c>
      <c r="G4" s="147">
        <v>2346</v>
      </c>
      <c r="H4" s="20"/>
    </row>
    <row r="5" spans="1:8" ht="15.75" x14ac:dyDescent="0.25">
      <c r="A5" s="117"/>
      <c r="B5" s="89"/>
      <c r="C5" s="31" t="s">
        <v>458</v>
      </c>
      <c r="D5" s="27" t="s">
        <v>7</v>
      </c>
      <c r="E5" s="28">
        <v>2</v>
      </c>
      <c r="F5" s="147">
        <v>248.4</v>
      </c>
      <c r="G5" s="147">
        <v>496.8</v>
      </c>
      <c r="H5" s="20"/>
    </row>
    <row r="6" spans="1:8" ht="15.75" x14ac:dyDescent="0.25">
      <c r="A6" s="117"/>
      <c r="B6" s="89"/>
      <c r="C6" s="31" t="s">
        <v>465</v>
      </c>
      <c r="D6" s="27" t="s">
        <v>7</v>
      </c>
      <c r="E6" s="28">
        <v>1</v>
      </c>
      <c r="F6" s="147">
        <v>256.8</v>
      </c>
      <c r="G6" s="147">
        <v>256.8</v>
      </c>
      <c r="H6" s="20"/>
    </row>
    <row r="7" spans="1:8" ht="15.75" x14ac:dyDescent="0.25">
      <c r="A7" s="117"/>
      <c r="B7" s="89"/>
      <c r="C7" s="31" t="s">
        <v>459</v>
      </c>
      <c r="D7" s="27" t="s">
        <v>7</v>
      </c>
      <c r="E7" s="28">
        <v>1</v>
      </c>
      <c r="F7" s="147">
        <v>3339.6</v>
      </c>
      <c r="G7" s="147">
        <v>3339.6</v>
      </c>
      <c r="H7" s="20"/>
    </row>
    <row r="8" spans="1:8" ht="15.75" x14ac:dyDescent="0.25">
      <c r="A8" s="117"/>
      <c r="B8" s="89"/>
      <c r="C8" s="112" t="s">
        <v>460</v>
      </c>
      <c r="D8" s="27" t="s">
        <v>7</v>
      </c>
      <c r="E8" s="34">
        <v>1</v>
      </c>
      <c r="F8" s="35">
        <v>345.6</v>
      </c>
      <c r="G8" s="35">
        <v>345.6</v>
      </c>
      <c r="H8" s="35" t="s">
        <v>397</v>
      </c>
    </row>
    <row r="9" spans="1:8" ht="15.75" x14ac:dyDescent="0.25">
      <c r="A9" s="117"/>
      <c r="B9" s="89"/>
      <c r="C9" s="57" t="s">
        <v>461</v>
      </c>
      <c r="D9" s="27" t="s">
        <v>7</v>
      </c>
      <c r="E9" s="34">
        <v>3</v>
      </c>
      <c r="F9" s="35">
        <v>204</v>
      </c>
      <c r="G9" s="35">
        <v>612</v>
      </c>
      <c r="H9" s="26" t="s">
        <v>398</v>
      </c>
    </row>
    <row r="10" spans="1:8" ht="15.75" x14ac:dyDescent="0.25">
      <c r="A10" s="117"/>
      <c r="B10" s="89"/>
      <c r="C10" s="57" t="s">
        <v>462</v>
      </c>
      <c r="D10" s="27" t="s">
        <v>7</v>
      </c>
      <c r="E10" s="34">
        <v>1</v>
      </c>
      <c r="F10" s="35">
        <v>632.4</v>
      </c>
      <c r="G10" s="35">
        <v>632.4</v>
      </c>
      <c r="H10" s="26" t="s">
        <v>398</v>
      </c>
    </row>
    <row r="11" spans="1:8" ht="15.75" x14ac:dyDescent="0.25">
      <c r="A11" s="117"/>
      <c r="B11" s="89"/>
      <c r="C11" s="57" t="s">
        <v>463</v>
      </c>
      <c r="D11" s="27" t="s">
        <v>7</v>
      </c>
      <c r="E11" s="34">
        <v>1</v>
      </c>
      <c r="F11" s="35">
        <v>342</v>
      </c>
      <c r="G11" s="35">
        <v>342</v>
      </c>
      <c r="H11" s="26"/>
    </row>
    <row r="12" spans="1:8" ht="15.75" x14ac:dyDescent="0.25">
      <c r="A12" s="117"/>
      <c r="B12" s="89"/>
      <c r="C12" s="57" t="s">
        <v>464</v>
      </c>
      <c r="D12" s="27" t="s">
        <v>7</v>
      </c>
      <c r="E12" s="34">
        <v>10</v>
      </c>
      <c r="F12" s="35">
        <v>21.3</v>
      </c>
      <c r="G12" s="35">
        <v>213</v>
      </c>
      <c r="H12" s="26" t="s">
        <v>398</v>
      </c>
    </row>
    <row r="13" spans="1:8" ht="15.75" x14ac:dyDescent="0.25">
      <c r="A13" s="118"/>
      <c r="B13" s="90"/>
      <c r="C13" s="57" t="s">
        <v>466</v>
      </c>
      <c r="D13" s="27" t="s">
        <v>7</v>
      </c>
      <c r="E13" s="34">
        <v>8</v>
      </c>
      <c r="F13" s="35">
        <v>80</v>
      </c>
      <c r="G13" s="35">
        <v>640</v>
      </c>
      <c r="H13" s="26"/>
    </row>
    <row r="14" spans="1:8" ht="25.5" x14ac:dyDescent="0.25">
      <c r="A14" s="40"/>
      <c r="B14" s="98"/>
      <c r="C14" s="107" t="s">
        <v>9</v>
      </c>
      <c r="D14" s="40"/>
      <c r="E14" s="41"/>
      <c r="F14" s="42"/>
      <c r="G14" s="42">
        <f>SUM(G3:G13)</f>
        <v>10688.2</v>
      </c>
      <c r="H14" s="42">
        <f>SUM(H8:H12)</f>
        <v>0</v>
      </c>
    </row>
    <row r="15" spans="1:8" ht="25.5" hidden="1" x14ac:dyDescent="0.25">
      <c r="A15" s="43"/>
      <c r="B15" s="91" t="s">
        <v>64</v>
      </c>
      <c r="C15" s="112"/>
      <c r="D15" s="26"/>
      <c r="E15" s="34"/>
      <c r="F15" s="35"/>
      <c r="G15" s="35"/>
      <c r="H15" s="35" t="s">
        <v>397</v>
      </c>
    </row>
    <row r="16" spans="1:8" ht="25.5" hidden="1" x14ac:dyDescent="0.25">
      <c r="A16" s="43"/>
      <c r="B16" s="91" t="s">
        <v>64</v>
      </c>
      <c r="C16" s="57"/>
      <c r="D16" s="26"/>
      <c r="E16" s="34"/>
      <c r="F16" s="35"/>
      <c r="G16" s="35"/>
      <c r="H16" s="35"/>
    </row>
    <row r="17" spans="1:8" ht="25.5" hidden="1" x14ac:dyDescent="0.25">
      <c r="A17" s="43"/>
      <c r="B17" s="91" t="s">
        <v>64</v>
      </c>
      <c r="C17" s="57"/>
      <c r="D17" s="26"/>
      <c r="E17" s="34"/>
      <c r="F17" s="35"/>
      <c r="G17" s="35"/>
      <c r="H17" s="35"/>
    </row>
    <row r="18" spans="1:8" ht="25.5" hidden="1" x14ac:dyDescent="0.25">
      <c r="A18" s="40"/>
      <c r="B18" s="98"/>
      <c r="C18" s="107" t="s">
        <v>9</v>
      </c>
      <c r="D18" s="40"/>
      <c r="E18" s="41"/>
      <c r="F18" s="42"/>
      <c r="G18" s="42">
        <f>SUM(G15:H17)</f>
        <v>0</v>
      </c>
      <c r="H18" s="40"/>
    </row>
    <row r="19" spans="1:8" ht="25.5" hidden="1" x14ac:dyDescent="0.25">
      <c r="A19" s="26">
        <v>1</v>
      </c>
      <c r="B19" s="99" t="s">
        <v>22</v>
      </c>
      <c r="C19" s="112"/>
      <c r="D19" s="26"/>
      <c r="E19" s="34"/>
      <c r="F19" s="35"/>
      <c r="G19" s="35"/>
      <c r="H19" s="35" t="s">
        <v>397</v>
      </c>
    </row>
    <row r="20" spans="1:8" ht="25.5" hidden="1" x14ac:dyDescent="0.25">
      <c r="A20" s="26">
        <v>2</v>
      </c>
      <c r="B20" s="99" t="s">
        <v>22</v>
      </c>
      <c r="C20" s="112"/>
      <c r="D20" s="26"/>
      <c r="E20" s="34"/>
      <c r="F20" s="35"/>
      <c r="G20" s="35"/>
      <c r="H20" s="35" t="s">
        <v>397</v>
      </c>
    </row>
    <row r="21" spans="1:8" ht="25.5" hidden="1" x14ac:dyDescent="0.25">
      <c r="A21" s="26">
        <v>3</v>
      </c>
      <c r="B21" s="99" t="s">
        <v>22</v>
      </c>
      <c r="C21" s="57"/>
      <c r="D21" s="26"/>
      <c r="E21" s="34"/>
      <c r="F21" s="35"/>
      <c r="G21" s="35"/>
      <c r="H21" s="35" t="s">
        <v>397</v>
      </c>
    </row>
    <row r="22" spans="1:8" ht="25.5" hidden="1" x14ac:dyDescent="0.25">
      <c r="A22" s="26">
        <v>4</v>
      </c>
      <c r="B22" s="99" t="s">
        <v>22</v>
      </c>
      <c r="C22" s="57"/>
      <c r="D22" s="26"/>
      <c r="E22" s="34"/>
      <c r="F22" s="35"/>
      <c r="G22" s="35"/>
      <c r="H22" s="35" t="s">
        <v>397</v>
      </c>
    </row>
    <row r="23" spans="1:8" ht="25.5" hidden="1" x14ac:dyDescent="0.25">
      <c r="A23" s="40"/>
      <c r="B23" s="98"/>
      <c r="C23" s="107" t="s">
        <v>9</v>
      </c>
      <c r="D23" s="40"/>
      <c r="E23" s="41"/>
      <c r="F23" s="42"/>
      <c r="G23" s="42">
        <f>SUM(G19:G22)</f>
        <v>0</v>
      </c>
      <c r="H23" s="42">
        <f>SUM(H19:H22)</f>
        <v>0</v>
      </c>
    </row>
    <row r="24" spans="1:8" ht="25.5" hidden="1" x14ac:dyDescent="0.25">
      <c r="A24" s="26">
        <v>3</v>
      </c>
      <c r="B24" s="99" t="s">
        <v>24</v>
      </c>
      <c r="C24" s="112"/>
      <c r="D24" s="26"/>
      <c r="E24" s="34"/>
      <c r="F24" s="35"/>
      <c r="G24" s="35"/>
      <c r="H24" s="35" t="s">
        <v>397</v>
      </c>
    </row>
    <row r="25" spans="1:8" ht="25.5" hidden="1" x14ac:dyDescent="0.25">
      <c r="A25" s="26"/>
      <c r="B25" s="99" t="s">
        <v>24</v>
      </c>
      <c r="C25" s="112"/>
      <c r="D25" s="26"/>
      <c r="E25" s="34"/>
      <c r="F25" s="35"/>
      <c r="G25" s="35"/>
      <c r="H25" s="35" t="s">
        <v>397</v>
      </c>
    </row>
    <row r="26" spans="1:8" ht="25.5" hidden="1" x14ac:dyDescent="0.25">
      <c r="A26" s="26"/>
      <c r="B26" s="99"/>
      <c r="C26" s="57"/>
      <c r="D26" s="26"/>
      <c r="E26" s="34"/>
      <c r="F26" s="35"/>
      <c r="G26" s="35"/>
      <c r="H26" s="35"/>
    </row>
    <row r="27" spans="1:8" ht="25.5" hidden="1" x14ac:dyDescent="0.25">
      <c r="A27" s="26"/>
      <c r="B27" s="99"/>
      <c r="C27" s="57"/>
      <c r="D27" s="26"/>
      <c r="E27" s="34"/>
      <c r="F27" s="35"/>
      <c r="G27" s="35"/>
      <c r="H27" s="35"/>
    </row>
    <row r="28" spans="1:8" ht="25.5" hidden="1" x14ac:dyDescent="0.25">
      <c r="A28" s="40"/>
      <c r="B28" s="98"/>
      <c r="C28" s="107" t="s">
        <v>9</v>
      </c>
      <c r="D28" s="40"/>
      <c r="E28" s="41"/>
      <c r="F28" s="42"/>
      <c r="G28" s="42">
        <f>SUM(G24:H27)</f>
        <v>0</v>
      </c>
      <c r="H28" s="40"/>
    </row>
    <row r="29" spans="1:8" ht="25.5" hidden="1" x14ac:dyDescent="0.25">
      <c r="A29" s="43">
        <v>1</v>
      </c>
      <c r="B29" s="91" t="s">
        <v>25</v>
      </c>
      <c r="C29" s="112"/>
      <c r="D29" s="26"/>
      <c r="E29" s="34"/>
      <c r="F29" s="35"/>
      <c r="G29" s="35"/>
      <c r="H29" s="35" t="s">
        <v>397</v>
      </c>
    </row>
    <row r="30" spans="1:8" ht="25.5" hidden="1" x14ac:dyDescent="0.25">
      <c r="A30" s="43"/>
      <c r="B30" s="91"/>
      <c r="C30" s="112"/>
      <c r="D30" s="26"/>
      <c r="E30" s="34"/>
      <c r="F30" s="35"/>
      <c r="G30" s="35"/>
      <c r="H30" s="35"/>
    </row>
    <row r="31" spans="1:8" ht="25.5" hidden="1" x14ac:dyDescent="0.25">
      <c r="A31" s="43"/>
      <c r="B31" s="91"/>
      <c r="C31" s="57"/>
      <c r="D31" s="26"/>
      <c r="E31" s="34"/>
      <c r="F31" s="35"/>
      <c r="G31" s="35"/>
      <c r="H31" s="35"/>
    </row>
    <row r="32" spans="1:8" ht="25.5" hidden="1" x14ac:dyDescent="0.25">
      <c r="A32" s="43"/>
      <c r="B32" s="91"/>
      <c r="C32" s="57"/>
      <c r="D32" s="26"/>
      <c r="E32" s="34"/>
      <c r="F32" s="35"/>
      <c r="G32" s="35"/>
      <c r="H32" s="35"/>
    </row>
    <row r="33" spans="1:8" ht="25.5" hidden="1" x14ac:dyDescent="0.25">
      <c r="A33" s="40"/>
      <c r="B33" s="98"/>
      <c r="C33" s="107" t="s">
        <v>9</v>
      </c>
      <c r="D33" s="40"/>
      <c r="E33" s="41"/>
      <c r="F33" s="42"/>
      <c r="G33" s="42">
        <f>SUM(G29:G32)</f>
        <v>0</v>
      </c>
      <c r="H33" s="40"/>
    </row>
    <row r="34" spans="1:8" ht="25.5" hidden="1" x14ac:dyDescent="0.25">
      <c r="A34" s="43">
        <v>1</v>
      </c>
      <c r="B34" s="91" t="s">
        <v>26</v>
      </c>
      <c r="C34" s="112"/>
      <c r="D34" s="26"/>
      <c r="E34" s="34"/>
      <c r="F34" s="35"/>
      <c r="G34" s="35"/>
      <c r="H34" s="35" t="s">
        <v>397</v>
      </c>
    </row>
    <row r="35" spans="1:8" ht="25.5" hidden="1" x14ac:dyDescent="0.25">
      <c r="A35" s="43">
        <v>2</v>
      </c>
      <c r="B35" s="91" t="s">
        <v>26</v>
      </c>
      <c r="C35" s="57"/>
      <c r="D35" s="26"/>
      <c r="E35" s="34"/>
      <c r="F35" s="35"/>
      <c r="G35" s="35"/>
      <c r="H35" s="35" t="s">
        <v>397</v>
      </c>
    </row>
    <row r="36" spans="1:8" ht="25.5" hidden="1" x14ac:dyDescent="0.25">
      <c r="A36" s="43"/>
      <c r="B36" s="91"/>
      <c r="C36" s="57"/>
      <c r="D36" s="26"/>
      <c r="E36" s="34"/>
      <c r="F36" s="35"/>
      <c r="G36" s="35"/>
      <c r="H36" s="35"/>
    </row>
    <row r="37" spans="1:8" ht="25.5" hidden="1" x14ac:dyDescent="0.25">
      <c r="A37" s="43"/>
      <c r="B37" s="91"/>
      <c r="C37" s="57"/>
      <c r="D37" s="26"/>
      <c r="E37" s="34"/>
      <c r="F37" s="35"/>
      <c r="G37" s="35"/>
      <c r="H37" s="35"/>
    </row>
    <row r="38" spans="1:8" ht="25.5" hidden="1" x14ac:dyDescent="0.25">
      <c r="A38" s="43"/>
      <c r="B38" s="91"/>
      <c r="C38" s="57"/>
      <c r="D38" s="26"/>
      <c r="E38" s="34"/>
      <c r="F38" s="35"/>
      <c r="G38" s="35"/>
      <c r="H38" s="35"/>
    </row>
    <row r="39" spans="1:8" ht="25.5" hidden="1" x14ac:dyDescent="0.25">
      <c r="A39" s="43"/>
      <c r="B39" s="91"/>
      <c r="C39" s="57"/>
      <c r="D39" s="26"/>
      <c r="E39" s="34"/>
      <c r="F39" s="35"/>
      <c r="G39" s="35"/>
      <c r="H39" s="35"/>
    </row>
    <row r="40" spans="1:8" ht="25.5" hidden="1" x14ac:dyDescent="0.25">
      <c r="A40" s="43"/>
      <c r="B40" s="91"/>
      <c r="C40" s="57"/>
      <c r="D40" s="26"/>
      <c r="E40" s="34"/>
      <c r="F40" s="35"/>
      <c r="G40" s="35"/>
      <c r="H40" s="35"/>
    </row>
    <row r="41" spans="1:8" ht="25.5" hidden="1" x14ac:dyDescent="0.25">
      <c r="A41" s="43"/>
      <c r="B41" s="91"/>
      <c r="C41" s="57"/>
      <c r="D41" s="26"/>
      <c r="E41" s="34"/>
      <c r="F41" s="35"/>
      <c r="G41" s="35"/>
      <c r="H41" s="35"/>
    </row>
    <row r="42" spans="1:8" ht="25.5" hidden="1" x14ac:dyDescent="0.25">
      <c r="A42" s="43"/>
      <c r="B42" s="91"/>
      <c r="C42" s="57"/>
      <c r="D42" s="26"/>
      <c r="E42" s="34"/>
      <c r="F42" s="35"/>
      <c r="G42" s="35"/>
      <c r="H42" s="35"/>
    </row>
    <row r="43" spans="1:8" ht="25.5" hidden="1" x14ac:dyDescent="0.25">
      <c r="A43" s="43"/>
      <c r="B43" s="91"/>
      <c r="C43" s="57"/>
      <c r="D43" s="26"/>
      <c r="E43" s="34"/>
      <c r="F43" s="35"/>
      <c r="G43" s="35"/>
      <c r="H43" s="35"/>
    </row>
    <row r="44" spans="1:8" ht="25.5" hidden="1" x14ac:dyDescent="0.25">
      <c r="A44" s="43"/>
      <c r="B44" s="91"/>
      <c r="C44" s="57"/>
      <c r="D44" s="26"/>
      <c r="E44" s="34"/>
      <c r="F44" s="35"/>
      <c r="G44" s="35"/>
      <c r="H44" s="35"/>
    </row>
    <row r="45" spans="1:8" ht="25.5" hidden="1" x14ac:dyDescent="0.25">
      <c r="A45" s="43"/>
      <c r="B45" s="91"/>
      <c r="C45" s="112"/>
      <c r="D45" s="26"/>
      <c r="E45" s="34"/>
      <c r="F45" s="35"/>
      <c r="G45" s="35"/>
      <c r="H45" s="35"/>
    </row>
    <row r="46" spans="1:8" ht="25.5" hidden="1" x14ac:dyDescent="0.25">
      <c r="A46" s="43"/>
      <c r="B46" s="91"/>
      <c r="C46" s="112"/>
      <c r="D46" s="26"/>
      <c r="E46" s="34"/>
      <c r="F46" s="35"/>
      <c r="G46" s="35"/>
      <c r="H46" s="35"/>
    </row>
    <row r="47" spans="1:8" ht="25.5" hidden="1" x14ac:dyDescent="0.25">
      <c r="A47" s="43"/>
      <c r="B47" s="91"/>
      <c r="C47" s="112"/>
      <c r="D47" s="26"/>
      <c r="E47" s="34"/>
      <c r="F47" s="35"/>
      <c r="G47" s="35"/>
      <c r="H47" s="35"/>
    </row>
    <row r="48" spans="1:8" ht="25.5" hidden="1" x14ac:dyDescent="0.25">
      <c r="A48" s="40"/>
      <c r="B48" s="98"/>
      <c r="C48" s="107" t="s">
        <v>9</v>
      </c>
      <c r="D48" s="40"/>
      <c r="E48" s="41"/>
      <c r="F48" s="42"/>
      <c r="G48" s="42">
        <f>SUM(G34:G47)</f>
        <v>0</v>
      </c>
      <c r="H48" s="40">
        <f>SUM(H34:H47)</f>
        <v>0</v>
      </c>
    </row>
    <row r="49" spans="1:9" ht="25.5" hidden="1" x14ac:dyDescent="0.25">
      <c r="A49" s="43">
        <v>1</v>
      </c>
      <c r="B49" s="91" t="s">
        <v>45</v>
      </c>
      <c r="C49" s="112"/>
      <c r="D49" s="26"/>
      <c r="E49" s="34"/>
      <c r="F49" s="35"/>
      <c r="G49" s="35"/>
      <c r="H49" s="35" t="s">
        <v>397</v>
      </c>
    </row>
    <row r="50" spans="1:9" ht="25.5" hidden="1" x14ac:dyDescent="0.25">
      <c r="A50" s="43">
        <v>2</v>
      </c>
      <c r="B50" s="91"/>
      <c r="C50" s="112"/>
      <c r="D50" s="26"/>
      <c r="E50" s="34"/>
      <c r="F50" s="35"/>
      <c r="G50" s="35"/>
      <c r="H50" s="35" t="s">
        <v>397</v>
      </c>
    </row>
    <row r="51" spans="1:9" ht="25.5" hidden="1" x14ac:dyDescent="0.25">
      <c r="A51" s="43">
        <v>3</v>
      </c>
      <c r="B51" s="91"/>
      <c r="C51" s="57"/>
      <c r="D51" s="26"/>
      <c r="E51" s="34"/>
      <c r="F51" s="35"/>
      <c r="G51" s="35"/>
      <c r="H51" s="35" t="s">
        <v>397</v>
      </c>
    </row>
    <row r="52" spans="1:9" ht="25.5" hidden="1" x14ac:dyDescent="0.25">
      <c r="A52" s="43">
        <v>4</v>
      </c>
      <c r="B52" s="91"/>
      <c r="C52" s="57"/>
      <c r="D52" s="26"/>
      <c r="E52" s="34"/>
      <c r="F52" s="35"/>
      <c r="G52" s="35"/>
      <c r="H52" s="35" t="s">
        <v>397</v>
      </c>
    </row>
    <row r="53" spans="1:9" ht="25.5" hidden="1" x14ac:dyDescent="0.25">
      <c r="A53" s="43">
        <v>5</v>
      </c>
      <c r="B53" s="91"/>
      <c r="C53" s="171"/>
      <c r="D53" s="43"/>
      <c r="E53" s="34"/>
      <c r="F53" s="35"/>
      <c r="G53" s="35"/>
      <c r="H53" s="35" t="s">
        <v>397</v>
      </c>
    </row>
    <row r="54" spans="1:9" ht="25.5" hidden="1" x14ac:dyDescent="0.25">
      <c r="A54" s="40"/>
      <c r="B54" s="98"/>
      <c r="C54" s="107" t="s">
        <v>9</v>
      </c>
      <c r="D54" s="40"/>
      <c r="E54" s="41"/>
      <c r="F54" s="42"/>
      <c r="G54" s="42">
        <f>SUM(G49:G53)</f>
        <v>0</v>
      </c>
      <c r="H54" s="40">
        <f>SUM(H49:H53)</f>
        <v>0</v>
      </c>
    </row>
    <row r="55" spans="1:9" ht="25.5" hidden="1" x14ac:dyDescent="0.25">
      <c r="A55" s="26">
        <v>1</v>
      </c>
      <c r="B55" s="99" t="s">
        <v>27</v>
      </c>
      <c r="C55" s="112"/>
      <c r="D55" s="26"/>
      <c r="E55" s="34"/>
      <c r="F55" s="35"/>
      <c r="G55" s="35"/>
      <c r="H55" s="35" t="s">
        <v>397</v>
      </c>
    </row>
    <row r="56" spans="1:9" ht="25.5" hidden="1" x14ac:dyDescent="0.25">
      <c r="A56" s="26"/>
      <c r="B56" s="99" t="s">
        <v>27</v>
      </c>
      <c r="C56" s="57"/>
      <c r="D56" s="26"/>
      <c r="E56" s="34"/>
      <c r="F56" s="35"/>
      <c r="G56" s="35"/>
      <c r="H56" s="35"/>
    </row>
    <row r="57" spans="1:9" ht="25.5" hidden="1" x14ac:dyDescent="0.25">
      <c r="A57" s="26"/>
      <c r="B57" s="99" t="s">
        <v>27</v>
      </c>
      <c r="C57" s="57"/>
      <c r="D57" s="26"/>
      <c r="E57" s="34"/>
      <c r="F57" s="35"/>
      <c r="G57" s="35"/>
      <c r="H57" s="35"/>
    </row>
    <row r="58" spans="1:9" ht="25.5" hidden="1" x14ac:dyDescent="0.25">
      <c r="A58" s="26"/>
      <c r="B58" s="99" t="s">
        <v>27</v>
      </c>
      <c r="C58" s="112"/>
      <c r="D58" s="26"/>
      <c r="E58" s="34"/>
      <c r="F58" s="35"/>
      <c r="G58" s="35"/>
      <c r="H58" s="35"/>
    </row>
    <row r="59" spans="1:9" ht="25.5" hidden="1" x14ac:dyDescent="0.25">
      <c r="A59" s="26"/>
      <c r="B59" s="99" t="s">
        <v>27</v>
      </c>
      <c r="C59" s="112"/>
      <c r="D59" s="26"/>
      <c r="E59" s="34"/>
      <c r="F59" s="35"/>
      <c r="G59" s="35"/>
      <c r="H59" s="35"/>
    </row>
    <row r="60" spans="1:9" ht="25.5" hidden="1" x14ac:dyDescent="0.25">
      <c r="A60" s="26">
        <v>2</v>
      </c>
      <c r="B60" s="99" t="s">
        <v>27</v>
      </c>
      <c r="C60" s="112"/>
      <c r="D60" s="26"/>
      <c r="E60" s="34"/>
      <c r="F60" s="35"/>
      <c r="G60" s="35"/>
      <c r="H60" s="35" t="s">
        <v>397</v>
      </c>
    </row>
    <row r="61" spans="1:9" ht="25.5" hidden="1" x14ac:dyDescent="0.25">
      <c r="A61" s="40"/>
      <c r="B61" s="98"/>
      <c r="C61" s="107" t="s">
        <v>9</v>
      </c>
      <c r="D61" s="40"/>
      <c r="E61" s="41"/>
      <c r="F61" s="42"/>
      <c r="G61" s="42">
        <f>SUM(G55:G60)</f>
        <v>0</v>
      </c>
      <c r="H61" s="40">
        <f>SUM(H55:H60)</f>
        <v>0</v>
      </c>
    </row>
    <row r="62" spans="1:9" ht="17.25" customHeight="1" x14ac:dyDescent="0.25">
      <c r="A62" s="92">
        <v>2</v>
      </c>
      <c r="B62" s="95" t="s">
        <v>29</v>
      </c>
      <c r="C62" s="112" t="s">
        <v>467</v>
      </c>
      <c r="D62" s="26" t="s">
        <v>7</v>
      </c>
      <c r="E62" s="34">
        <v>3</v>
      </c>
      <c r="F62" s="35">
        <v>8.1</v>
      </c>
      <c r="G62" s="35">
        <v>24.3</v>
      </c>
      <c r="H62" s="35" t="s">
        <v>397</v>
      </c>
      <c r="I62" s="35"/>
    </row>
    <row r="63" spans="1:9" x14ac:dyDescent="0.25">
      <c r="A63" s="94"/>
      <c r="B63" s="97"/>
      <c r="C63" s="112" t="s">
        <v>468</v>
      </c>
      <c r="D63" s="26" t="s">
        <v>7</v>
      </c>
      <c r="E63" s="34">
        <v>1</v>
      </c>
      <c r="F63" s="35">
        <v>4.45</v>
      </c>
      <c r="G63" s="35">
        <v>4.45</v>
      </c>
      <c r="H63" s="35" t="s">
        <v>397</v>
      </c>
    </row>
    <row r="64" spans="1:9" ht="25.5" hidden="1" x14ac:dyDescent="0.25">
      <c r="A64" s="43"/>
      <c r="B64" s="91" t="s">
        <v>29</v>
      </c>
      <c r="C64" s="112"/>
      <c r="D64" s="26"/>
      <c r="E64" s="34"/>
      <c r="F64" s="35"/>
      <c r="G64" s="35"/>
      <c r="H64" s="35"/>
    </row>
    <row r="65" spans="1:8" ht="25.5" hidden="1" x14ac:dyDescent="0.25">
      <c r="A65" s="43"/>
      <c r="B65" s="91" t="s">
        <v>29</v>
      </c>
      <c r="C65" s="112"/>
      <c r="D65" s="26"/>
      <c r="E65" s="34"/>
      <c r="F65" s="35"/>
      <c r="G65" s="35"/>
      <c r="H65" s="35"/>
    </row>
    <row r="66" spans="1:8" ht="25.5" hidden="1" x14ac:dyDescent="0.25">
      <c r="A66" s="43"/>
      <c r="B66" s="91" t="s">
        <v>29</v>
      </c>
      <c r="C66" s="112"/>
      <c r="D66" s="26"/>
      <c r="E66" s="34"/>
      <c r="F66" s="35"/>
      <c r="G66" s="35"/>
      <c r="H66" s="35"/>
    </row>
    <row r="67" spans="1:8" ht="25.5" hidden="1" x14ac:dyDescent="0.25">
      <c r="A67" s="43"/>
      <c r="B67" s="91" t="s">
        <v>29</v>
      </c>
      <c r="C67" s="112"/>
      <c r="D67" s="26"/>
      <c r="E67" s="34"/>
      <c r="F67" s="35"/>
      <c r="G67" s="35"/>
      <c r="H67" s="35" t="s">
        <v>397</v>
      </c>
    </row>
    <row r="68" spans="1:8" ht="25.5" x14ac:dyDescent="0.25">
      <c r="A68" s="40"/>
      <c r="B68" s="98"/>
      <c r="C68" s="107" t="s">
        <v>9</v>
      </c>
      <c r="D68" s="40"/>
      <c r="E68" s="41"/>
      <c r="F68" s="42"/>
      <c r="G68" s="42">
        <f>SUM(G62:G67)</f>
        <v>28.75</v>
      </c>
      <c r="H68" s="40"/>
    </row>
    <row r="69" spans="1:8" ht="48.75" hidden="1" customHeight="1" x14ac:dyDescent="0.25">
      <c r="A69" s="43">
        <v>1</v>
      </c>
      <c r="B69" s="91" t="s">
        <v>32</v>
      </c>
      <c r="C69" s="112"/>
      <c r="D69" s="26"/>
      <c r="E69" s="34"/>
      <c r="F69" s="35"/>
      <c r="G69" s="35"/>
      <c r="H69" s="35" t="s">
        <v>397</v>
      </c>
    </row>
    <row r="70" spans="1:8" ht="25.5" hidden="1" x14ac:dyDescent="0.25">
      <c r="A70" s="43"/>
      <c r="B70" s="91"/>
      <c r="C70" s="57"/>
      <c r="D70" s="26"/>
      <c r="E70" s="34"/>
      <c r="F70" s="35"/>
      <c r="G70" s="35"/>
      <c r="H70" s="35" t="s">
        <v>397</v>
      </c>
    </row>
    <row r="71" spans="1:8" ht="25.5" hidden="1" x14ac:dyDescent="0.25">
      <c r="A71" s="43"/>
      <c r="B71" s="91"/>
      <c r="C71" s="57"/>
      <c r="D71" s="26"/>
      <c r="E71" s="34"/>
      <c r="F71" s="35"/>
      <c r="G71" s="35"/>
      <c r="H71" s="35" t="s">
        <v>397</v>
      </c>
    </row>
    <row r="72" spans="1:8" ht="25.5" hidden="1" x14ac:dyDescent="0.25">
      <c r="A72" s="40"/>
      <c r="B72" s="98"/>
      <c r="C72" s="107" t="s">
        <v>9</v>
      </c>
      <c r="D72" s="40"/>
      <c r="E72" s="41"/>
      <c r="F72" s="42"/>
      <c r="G72" s="42">
        <f>SUM(G69:G71)</f>
        <v>0</v>
      </c>
      <c r="H72" s="40"/>
    </row>
    <row r="73" spans="1:8" x14ac:dyDescent="0.25">
      <c r="A73" s="92">
        <v>3</v>
      </c>
      <c r="B73" s="95" t="s">
        <v>69</v>
      </c>
      <c r="C73" s="112" t="s">
        <v>469</v>
      </c>
      <c r="D73" s="26" t="s">
        <v>7</v>
      </c>
      <c r="E73" s="34">
        <v>1</v>
      </c>
      <c r="F73" s="35">
        <v>10000</v>
      </c>
      <c r="G73" s="35">
        <v>10000</v>
      </c>
      <c r="H73" s="35" t="s">
        <v>397</v>
      </c>
    </row>
    <row r="74" spans="1:8" x14ac:dyDescent="0.25">
      <c r="A74" s="94"/>
      <c r="B74" s="97"/>
      <c r="C74" s="112" t="s">
        <v>470</v>
      </c>
      <c r="D74" s="26" t="s">
        <v>7</v>
      </c>
      <c r="E74" s="34">
        <v>1</v>
      </c>
      <c r="F74" s="35">
        <v>4000</v>
      </c>
      <c r="G74" s="35">
        <v>4000</v>
      </c>
      <c r="H74" s="35"/>
    </row>
    <row r="75" spans="1:8" ht="25.5" hidden="1" x14ac:dyDescent="0.25">
      <c r="A75" s="43"/>
      <c r="B75" s="91"/>
      <c r="C75" s="57"/>
      <c r="D75" s="26"/>
      <c r="E75" s="34"/>
      <c r="F75" s="35"/>
      <c r="G75" s="35"/>
      <c r="H75" s="35"/>
    </row>
    <row r="76" spans="1:8" ht="25.5" hidden="1" x14ac:dyDescent="0.25">
      <c r="A76" s="43"/>
      <c r="B76" s="91"/>
      <c r="C76" s="57"/>
      <c r="D76" s="26"/>
      <c r="E76" s="34"/>
      <c r="F76" s="35"/>
      <c r="G76" s="35"/>
      <c r="H76" s="35"/>
    </row>
    <row r="77" spans="1:8" ht="25.5" hidden="1" x14ac:dyDescent="0.25">
      <c r="A77" s="43"/>
      <c r="B77" s="91"/>
      <c r="C77" s="112"/>
      <c r="D77" s="26"/>
      <c r="E77" s="34"/>
      <c r="F77" s="35"/>
      <c r="G77" s="35"/>
      <c r="H77" s="35" t="s">
        <v>397</v>
      </c>
    </row>
    <row r="78" spans="1:8" ht="25.5" hidden="1" x14ac:dyDescent="0.25">
      <c r="A78" s="43"/>
      <c r="B78" s="91"/>
      <c r="C78" s="112"/>
      <c r="D78" s="26"/>
      <c r="E78" s="34"/>
      <c r="F78" s="35"/>
      <c r="G78" s="35"/>
      <c r="H78" s="35" t="s">
        <v>397</v>
      </c>
    </row>
    <row r="79" spans="1:8" ht="25.5" x14ac:dyDescent="0.25">
      <c r="A79" s="40"/>
      <c r="B79" s="98"/>
      <c r="C79" s="107" t="s">
        <v>9</v>
      </c>
      <c r="D79" s="40"/>
      <c r="E79" s="41"/>
      <c r="F79" s="42"/>
      <c r="G79" s="42">
        <f>SUM(G73:G78)</f>
        <v>14000</v>
      </c>
      <c r="H79" s="40"/>
    </row>
    <row r="80" spans="1:8" ht="25.5" hidden="1" x14ac:dyDescent="0.25">
      <c r="A80" s="26">
        <v>1</v>
      </c>
      <c r="B80" s="99" t="s">
        <v>91</v>
      </c>
      <c r="C80" s="112"/>
      <c r="D80" s="26"/>
      <c r="E80" s="34"/>
      <c r="F80" s="35"/>
      <c r="G80" s="35"/>
      <c r="H80" s="26" t="s">
        <v>398</v>
      </c>
    </row>
    <row r="81" spans="1:8" ht="25.5" hidden="1" x14ac:dyDescent="0.25">
      <c r="A81" s="26"/>
      <c r="B81" s="99"/>
      <c r="C81" s="57"/>
      <c r="D81" s="26"/>
      <c r="E81" s="34"/>
      <c r="F81" s="35"/>
      <c r="G81" s="35"/>
      <c r="H81" s="26"/>
    </row>
    <row r="82" spans="1:8" ht="25.5" hidden="1" x14ac:dyDescent="0.25">
      <c r="A82" s="26"/>
      <c r="B82" s="99"/>
      <c r="C82" s="57"/>
      <c r="D82" s="26"/>
      <c r="E82" s="34"/>
      <c r="F82" s="35"/>
      <c r="G82" s="35"/>
      <c r="H82" s="26"/>
    </row>
    <row r="83" spans="1:8" ht="25.5" hidden="1" x14ac:dyDescent="0.25">
      <c r="A83" s="26"/>
      <c r="B83" s="99"/>
      <c r="C83" s="112"/>
      <c r="D83" s="26"/>
      <c r="E83" s="34"/>
      <c r="F83" s="35"/>
      <c r="G83" s="35"/>
      <c r="H83" s="26"/>
    </row>
    <row r="84" spans="1:8" ht="25.5" hidden="1" x14ac:dyDescent="0.25">
      <c r="A84" s="26"/>
      <c r="B84" s="99"/>
      <c r="C84" s="112"/>
      <c r="D84" s="26"/>
      <c r="E84" s="34"/>
      <c r="F84" s="35"/>
      <c r="G84" s="35"/>
      <c r="H84" s="26"/>
    </row>
    <row r="85" spans="1:8" ht="25.5" hidden="1" x14ac:dyDescent="0.25">
      <c r="A85" s="40"/>
      <c r="B85" s="98"/>
      <c r="C85" s="107" t="s">
        <v>9</v>
      </c>
      <c r="D85" s="40"/>
      <c r="E85" s="41"/>
      <c r="F85" s="42"/>
      <c r="G85" s="42">
        <f>SUM(G80:G84)</f>
        <v>0</v>
      </c>
      <c r="H85" s="40">
        <f>SUM(H80:H80)</f>
        <v>0</v>
      </c>
    </row>
    <row r="86" spans="1:8" ht="25.5" hidden="1" x14ac:dyDescent="0.25">
      <c r="A86" s="43">
        <v>1</v>
      </c>
      <c r="B86" s="91" t="s">
        <v>35</v>
      </c>
      <c r="C86" s="112"/>
      <c r="D86" s="26"/>
      <c r="E86" s="34"/>
      <c r="F86" s="35"/>
      <c r="G86" s="35"/>
      <c r="H86" s="35" t="s">
        <v>397</v>
      </c>
    </row>
    <row r="87" spans="1:8" ht="25.5" hidden="1" x14ac:dyDescent="0.25">
      <c r="A87" s="43"/>
      <c r="B87" s="91"/>
      <c r="C87" s="112"/>
      <c r="D87" s="26"/>
      <c r="E87" s="34"/>
      <c r="F87" s="35"/>
      <c r="G87" s="35"/>
      <c r="H87" s="35" t="s">
        <v>397</v>
      </c>
    </row>
    <row r="88" spans="1:8" ht="25.5" hidden="1" x14ac:dyDescent="0.25">
      <c r="A88" s="43"/>
      <c r="B88" s="91"/>
      <c r="C88" s="57"/>
      <c r="D88" s="26"/>
      <c r="E88" s="34"/>
      <c r="F88" s="35"/>
      <c r="G88" s="35"/>
      <c r="H88" s="35"/>
    </row>
    <row r="89" spans="1:8" ht="25.5" hidden="1" x14ac:dyDescent="0.25">
      <c r="A89" s="43"/>
      <c r="B89" s="91"/>
      <c r="C89" s="57"/>
      <c r="D89" s="26"/>
      <c r="E89" s="34"/>
      <c r="F89" s="35"/>
      <c r="G89" s="35"/>
      <c r="H89" s="35"/>
    </row>
    <row r="90" spans="1:8" ht="25.5" hidden="1" x14ac:dyDescent="0.25">
      <c r="A90" s="43"/>
      <c r="B90" s="91"/>
      <c r="C90" s="112"/>
      <c r="D90" s="26"/>
      <c r="E90" s="34"/>
      <c r="F90" s="35"/>
      <c r="G90" s="35"/>
      <c r="H90" s="35" t="s">
        <v>397</v>
      </c>
    </row>
    <row r="91" spans="1:8" ht="25.5" hidden="1" x14ac:dyDescent="0.25">
      <c r="A91" s="40"/>
      <c r="B91" s="98"/>
      <c r="C91" s="107" t="s">
        <v>9</v>
      </c>
      <c r="D91" s="40"/>
      <c r="E91" s="41"/>
      <c r="F91" s="42"/>
      <c r="G91" s="42">
        <f>SUM(G86:G90)</f>
        <v>0</v>
      </c>
      <c r="H91" s="40"/>
    </row>
    <row r="92" spans="1:8" ht="25.5" hidden="1" x14ac:dyDescent="0.25">
      <c r="A92" s="26">
        <v>1</v>
      </c>
      <c r="B92" s="99" t="s">
        <v>36</v>
      </c>
      <c r="C92" s="112"/>
      <c r="D92" s="26"/>
      <c r="E92" s="34"/>
      <c r="F92" s="35"/>
      <c r="G92" s="35"/>
      <c r="H92" s="35" t="s">
        <v>397</v>
      </c>
    </row>
    <row r="93" spans="1:8" ht="25.5" hidden="1" x14ac:dyDescent="0.25">
      <c r="A93" s="26">
        <v>2</v>
      </c>
      <c r="B93" s="99" t="s">
        <v>36</v>
      </c>
      <c r="C93" s="57"/>
      <c r="D93" s="26"/>
      <c r="E93" s="34"/>
      <c r="F93" s="35"/>
      <c r="G93" s="35"/>
      <c r="H93" s="35" t="s">
        <v>397</v>
      </c>
    </row>
    <row r="94" spans="1:8" ht="25.5" hidden="1" x14ac:dyDescent="0.25">
      <c r="A94" s="26">
        <v>3</v>
      </c>
      <c r="B94" s="99" t="s">
        <v>36</v>
      </c>
      <c r="C94" s="57"/>
      <c r="D94" s="26"/>
      <c r="E94" s="34"/>
      <c r="F94" s="35"/>
      <c r="G94" s="35"/>
      <c r="H94" s="35" t="s">
        <v>397</v>
      </c>
    </row>
    <row r="95" spans="1:8" ht="25.5" hidden="1" x14ac:dyDescent="0.25">
      <c r="A95" s="26">
        <v>4</v>
      </c>
      <c r="B95" s="99" t="s">
        <v>36</v>
      </c>
      <c r="C95" s="112"/>
      <c r="D95" s="26"/>
      <c r="E95" s="34"/>
      <c r="F95" s="35"/>
      <c r="G95" s="35"/>
      <c r="H95" s="35" t="s">
        <v>397</v>
      </c>
    </row>
    <row r="96" spans="1:8" ht="25.5" hidden="1" x14ac:dyDescent="0.25">
      <c r="A96" s="40"/>
      <c r="B96" s="98"/>
      <c r="C96" s="107" t="s">
        <v>9</v>
      </c>
      <c r="D96" s="40"/>
      <c r="E96" s="41"/>
      <c r="F96" s="42"/>
      <c r="G96" s="42">
        <f>SUM(G92:G95)</f>
        <v>0</v>
      </c>
      <c r="H96" s="40">
        <f>SUM(H92:H95)</f>
        <v>0</v>
      </c>
    </row>
    <row r="97" spans="1:8" ht="25.5" hidden="1" x14ac:dyDescent="0.25">
      <c r="A97" s="43">
        <v>1</v>
      </c>
      <c r="B97" s="91" t="s">
        <v>37</v>
      </c>
      <c r="C97" s="112"/>
      <c r="D97" s="26"/>
      <c r="E97" s="34"/>
      <c r="F97" s="35"/>
      <c r="G97" s="35"/>
      <c r="H97" s="35" t="s">
        <v>397</v>
      </c>
    </row>
    <row r="98" spans="1:8" ht="25.5" hidden="1" x14ac:dyDescent="0.25">
      <c r="A98" s="43"/>
      <c r="B98" s="91" t="s">
        <v>37</v>
      </c>
      <c r="C98" s="57"/>
      <c r="D98" s="26"/>
      <c r="E98" s="34"/>
      <c r="F98" s="35"/>
      <c r="G98" s="35"/>
      <c r="H98" s="35"/>
    </row>
    <row r="99" spans="1:8" ht="25.5" hidden="1" x14ac:dyDescent="0.25">
      <c r="A99" s="43"/>
      <c r="B99" s="91" t="s">
        <v>37</v>
      </c>
      <c r="C99" s="57"/>
      <c r="D99" s="26"/>
      <c r="E99" s="34"/>
      <c r="F99" s="35"/>
      <c r="G99" s="35"/>
      <c r="H99" s="35"/>
    </row>
    <row r="100" spans="1:8" ht="25.5" hidden="1" x14ac:dyDescent="0.25">
      <c r="A100" s="43"/>
      <c r="B100" s="91" t="s">
        <v>37</v>
      </c>
      <c r="C100" s="112"/>
      <c r="D100" s="26"/>
      <c r="E100" s="34"/>
      <c r="F100" s="35"/>
      <c r="G100" s="35"/>
      <c r="H100" s="35"/>
    </row>
    <row r="101" spans="1:8" ht="25.5" hidden="1" x14ac:dyDescent="0.25">
      <c r="A101" s="43"/>
      <c r="B101" s="91" t="s">
        <v>37</v>
      </c>
      <c r="C101" s="112"/>
      <c r="D101" s="26"/>
      <c r="E101" s="34"/>
      <c r="F101" s="35"/>
      <c r="G101" s="35"/>
      <c r="H101" s="35"/>
    </row>
    <row r="102" spans="1:8" ht="25.5" hidden="1" x14ac:dyDescent="0.25">
      <c r="A102" s="40"/>
      <c r="B102" s="98"/>
      <c r="C102" s="107" t="s">
        <v>9</v>
      </c>
      <c r="D102" s="40"/>
      <c r="E102" s="41"/>
      <c r="F102" s="42"/>
      <c r="G102" s="42">
        <f>SUM(G97:G101)</f>
        <v>0</v>
      </c>
      <c r="H102" s="40">
        <f>SUM(H97:H97)</f>
        <v>0</v>
      </c>
    </row>
    <row r="103" spans="1:8" x14ac:dyDescent="0.25">
      <c r="A103" s="82">
        <v>4</v>
      </c>
      <c r="B103" s="88" t="s">
        <v>38</v>
      </c>
      <c r="C103" s="112" t="s">
        <v>467</v>
      </c>
      <c r="D103" s="26" t="s">
        <v>7</v>
      </c>
      <c r="E103" s="34">
        <v>3</v>
      </c>
      <c r="F103" s="35">
        <v>8.1</v>
      </c>
      <c r="G103" s="35">
        <v>24.3</v>
      </c>
      <c r="H103" s="35" t="s">
        <v>397</v>
      </c>
    </row>
    <row r="104" spans="1:8" x14ac:dyDescent="0.25">
      <c r="A104" s="83"/>
      <c r="B104" s="90"/>
      <c r="C104" s="112" t="s">
        <v>468</v>
      </c>
      <c r="D104" s="26" t="s">
        <v>7</v>
      </c>
      <c r="E104" s="34">
        <v>1</v>
      </c>
      <c r="F104" s="35">
        <v>4.45</v>
      </c>
      <c r="G104" s="35">
        <v>4.45</v>
      </c>
      <c r="H104" s="35" t="s">
        <v>398</v>
      </c>
    </row>
    <row r="105" spans="1:8" ht="25.5" hidden="1" x14ac:dyDescent="0.25">
      <c r="A105" s="26">
        <v>3</v>
      </c>
      <c r="B105" s="99" t="s">
        <v>38</v>
      </c>
      <c r="C105" s="112"/>
      <c r="D105" s="26"/>
      <c r="E105" s="37"/>
      <c r="F105" s="38"/>
      <c r="G105" s="38"/>
      <c r="H105" s="35" t="s">
        <v>398</v>
      </c>
    </row>
    <row r="106" spans="1:8" ht="25.5" hidden="1" x14ac:dyDescent="0.25">
      <c r="A106" s="26">
        <v>4</v>
      </c>
      <c r="B106" s="99" t="s">
        <v>38</v>
      </c>
      <c r="C106" s="112"/>
      <c r="D106" s="26"/>
      <c r="E106" s="37"/>
      <c r="F106" s="38"/>
      <c r="G106" s="38"/>
      <c r="H106" s="35" t="s">
        <v>398</v>
      </c>
    </row>
    <row r="107" spans="1:8" ht="25.5" hidden="1" x14ac:dyDescent="0.25">
      <c r="A107" s="26">
        <v>5</v>
      </c>
      <c r="B107" s="99" t="s">
        <v>38</v>
      </c>
      <c r="C107" s="112"/>
      <c r="D107" s="26"/>
      <c r="E107" s="37"/>
      <c r="F107" s="38"/>
      <c r="G107" s="38"/>
      <c r="H107" s="35" t="s">
        <v>398</v>
      </c>
    </row>
    <row r="108" spans="1:8" ht="25.5" hidden="1" x14ac:dyDescent="0.25">
      <c r="A108" s="26">
        <v>6</v>
      </c>
      <c r="B108" s="99" t="s">
        <v>38</v>
      </c>
      <c r="C108" s="112"/>
      <c r="D108" s="26"/>
      <c r="E108" s="37"/>
      <c r="F108" s="38"/>
      <c r="G108" s="38"/>
      <c r="H108" s="35" t="s">
        <v>398</v>
      </c>
    </row>
    <row r="109" spans="1:8" ht="25.5" hidden="1" x14ac:dyDescent="0.25">
      <c r="A109" s="26"/>
      <c r="B109" s="99" t="s">
        <v>38</v>
      </c>
      <c r="C109" s="112"/>
      <c r="D109" s="26"/>
      <c r="E109" s="37"/>
      <c r="F109" s="38"/>
      <c r="G109" s="38"/>
      <c r="H109" s="35"/>
    </row>
    <row r="110" spans="1:8" ht="25.5" hidden="1" x14ac:dyDescent="0.25">
      <c r="A110" s="26">
        <v>7</v>
      </c>
      <c r="B110" s="99" t="s">
        <v>38</v>
      </c>
      <c r="C110" s="112"/>
      <c r="D110" s="26"/>
      <c r="E110" s="37"/>
      <c r="F110" s="38"/>
      <c r="G110" s="38"/>
      <c r="H110" s="35" t="s">
        <v>398</v>
      </c>
    </row>
    <row r="111" spans="1:8" ht="25.5" x14ac:dyDescent="0.25">
      <c r="A111" s="40"/>
      <c r="B111" s="98"/>
      <c r="C111" s="107" t="s">
        <v>9</v>
      </c>
      <c r="D111" s="40"/>
      <c r="E111" s="41"/>
      <c r="F111" s="42"/>
      <c r="G111" s="42">
        <f>SUM(G103:G110)</f>
        <v>28.75</v>
      </c>
      <c r="H111" s="40">
        <f>SUM(H103:H110)</f>
        <v>0</v>
      </c>
    </row>
    <row r="112" spans="1:8" x14ac:dyDescent="0.25">
      <c r="A112" s="92">
        <v>5</v>
      </c>
      <c r="B112" s="95" t="s">
        <v>44</v>
      </c>
      <c r="C112" s="112" t="s">
        <v>471</v>
      </c>
      <c r="D112" s="26" t="s">
        <v>7</v>
      </c>
      <c r="E112" s="34">
        <v>25</v>
      </c>
      <c r="F112" s="35">
        <v>330</v>
      </c>
      <c r="G112" s="35">
        <v>330</v>
      </c>
      <c r="H112" s="35" t="s">
        <v>397</v>
      </c>
    </row>
    <row r="113" spans="1:8" x14ac:dyDescent="0.25">
      <c r="A113" s="93"/>
      <c r="B113" s="96"/>
      <c r="C113" s="112" t="s">
        <v>472</v>
      </c>
      <c r="D113" s="26" t="s">
        <v>7</v>
      </c>
      <c r="E113" s="34">
        <v>125</v>
      </c>
      <c r="F113" s="35">
        <v>145</v>
      </c>
      <c r="G113" s="35">
        <v>725</v>
      </c>
      <c r="H113" s="35"/>
    </row>
    <row r="114" spans="1:8" x14ac:dyDescent="0.25">
      <c r="A114" s="93"/>
      <c r="B114" s="96"/>
      <c r="C114" s="57" t="s">
        <v>473</v>
      </c>
      <c r="D114" s="26" t="s">
        <v>476</v>
      </c>
      <c r="E114" s="34">
        <v>1</v>
      </c>
      <c r="F114" s="35">
        <v>135</v>
      </c>
      <c r="G114" s="35">
        <v>135</v>
      </c>
      <c r="H114" s="35"/>
    </row>
    <row r="115" spans="1:8" x14ac:dyDescent="0.25">
      <c r="A115" s="93"/>
      <c r="B115" s="96"/>
      <c r="C115" s="57" t="s">
        <v>474</v>
      </c>
      <c r="D115" s="26" t="s">
        <v>7</v>
      </c>
      <c r="E115" s="34">
        <v>5</v>
      </c>
      <c r="F115" s="35">
        <v>20</v>
      </c>
      <c r="G115" s="35">
        <v>100</v>
      </c>
      <c r="H115" s="35"/>
    </row>
    <row r="116" spans="1:8" x14ac:dyDescent="0.25">
      <c r="A116" s="94"/>
      <c r="B116" s="97"/>
      <c r="C116" s="112" t="s">
        <v>475</v>
      </c>
      <c r="D116" s="26" t="s">
        <v>7</v>
      </c>
      <c r="E116" s="34">
        <v>4</v>
      </c>
      <c r="F116" s="35">
        <v>50</v>
      </c>
      <c r="G116" s="35">
        <v>100</v>
      </c>
      <c r="H116" s="35"/>
    </row>
    <row r="117" spans="1:8" ht="25.5" x14ac:dyDescent="0.25">
      <c r="A117" s="40"/>
      <c r="B117" s="98"/>
      <c r="C117" s="107" t="s">
        <v>9</v>
      </c>
      <c r="D117" s="40"/>
      <c r="E117" s="41"/>
      <c r="F117" s="42"/>
      <c r="G117" s="42">
        <f>SUM(G112:H116)</f>
        <v>1390</v>
      </c>
      <c r="H117" s="40"/>
    </row>
    <row r="118" spans="1:8" s="44" customFormat="1" x14ac:dyDescent="0.25">
      <c r="A118" s="92">
        <v>6</v>
      </c>
      <c r="B118" s="95" t="s">
        <v>141</v>
      </c>
      <c r="C118" s="112" t="s">
        <v>467</v>
      </c>
      <c r="D118" s="26" t="s">
        <v>7</v>
      </c>
      <c r="E118" s="34">
        <v>3</v>
      </c>
      <c r="F118" s="35">
        <v>8.1</v>
      </c>
      <c r="G118" s="35">
        <v>24.3</v>
      </c>
      <c r="H118" s="35" t="s">
        <v>397</v>
      </c>
    </row>
    <row r="119" spans="1:8" s="44" customFormat="1" x14ac:dyDescent="0.25">
      <c r="A119" s="94"/>
      <c r="B119" s="97"/>
      <c r="C119" s="112" t="s">
        <v>468</v>
      </c>
      <c r="D119" s="26" t="s">
        <v>7</v>
      </c>
      <c r="E119" s="34">
        <v>1</v>
      </c>
      <c r="F119" s="35">
        <v>4.45</v>
      </c>
      <c r="G119" s="35">
        <v>4.45</v>
      </c>
      <c r="H119" s="35"/>
    </row>
    <row r="120" spans="1:8" s="44" customFormat="1" ht="25.5" hidden="1" x14ac:dyDescent="0.25">
      <c r="A120" s="43"/>
      <c r="B120" s="91"/>
      <c r="C120" s="112"/>
      <c r="D120" s="26"/>
      <c r="E120" s="34"/>
      <c r="F120" s="35"/>
      <c r="G120" s="35"/>
      <c r="H120" s="35"/>
    </row>
    <row r="121" spans="1:8" s="44" customFormat="1" ht="25.5" hidden="1" x14ac:dyDescent="0.25">
      <c r="A121" s="43"/>
      <c r="B121" s="91"/>
      <c r="C121" s="112"/>
      <c r="D121" s="26"/>
      <c r="E121" s="34"/>
      <c r="F121" s="35"/>
      <c r="G121" s="35"/>
      <c r="H121" s="35"/>
    </row>
    <row r="122" spans="1:8" s="44" customFormat="1" ht="25.5" hidden="1" x14ac:dyDescent="0.25">
      <c r="A122" s="43"/>
      <c r="B122" s="91"/>
      <c r="C122" s="112"/>
      <c r="D122" s="26"/>
      <c r="E122" s="34"/>
      <c r="F122" s="35"/>
      <c r="G122" s="35"/>
      <c r="H122" s="35"/>
    </row>
    <row r="123" spans="1:8" ht="25.5" x14ac:dyDescent="0.25">
      <c r="A123" s="40"/>
      <c r="B123" s="98"/>
      <c r="C123" s="107" t="s">
        <v>9</v>
      </c>
      <c r="D123" s="40"/>
      <c r="E123" s="41"/>
      <c r="F123" s="42"/>
      <c r="G123" s="42">
        <f>SUM(G118:G122)</f>
        <v>28.75</v>
      </c>
      <c r="H123" s="40"/>
    </row>
    <row r="124" spans="1:8" ht="25.5" hidden="1" x14ac:dyDescent="0.25">
      <c r="A124" s="26">
        <v>1</v>
      </c>
      <c r="B124" s="99" t="s">
        <v>40</v>
      </c>
      <c r="C124" s="112"/>
      <c r="D124" s="26"/>
      <c r="E124" s="34"/>
      <c r="F124" s="35"/>
      <c r="G124" s="35"/>
      <c r="H124" s="26"/>
    </row>
    <row r="125" spans="1:8" ht="25.5" hidden="1" x14ac:dyDescent="0.25">
      <c r="A125" s="26"/>
      <c r="B125" s="99"/>
      <c r="C125" s="112"/>
      <c r="D125" s="26"/>
      <c r="E125" s="34"/>
      <c r="F125" s="35"/>
      <c r="G125" s="35"/>
      <c r="H125" s="26"/>
    </row>
    <row r="126" spans="1:8" ht="25.5" hidden="1" x14ac:dyDescent="0.25">
      <c r="A126" s="26"/>
      <c r="B126" s="99"/>
      <c r="C126" s="112"/>
      <c r="D126" s="26"/>
      <c r="E126" s="34"/>
      <c r="F126" s="35"/>
      <c r="G126" s="35"/>
      <c r="H126" s="26"/>
    </row>
    <row r="127" spans="1:8" ht="25.5" hidden="1" x14ac:dyDescent="0.25">
      <c r="A127" s="26"/>
      <c r="B127" s="99"/>
      <c r="C127" s="57"/>
      <c r="D127" s="26"/>
      <c r="E127" s="34"/>
      <c r="F127" s="35"/>
      <c r="G127" s="35"/>
      <c r="H127" s="26"/>
    </row>
    <row r="128" spans="1:8" ht="25.5" hidden="1" x14ac:dyDescent="0.25">
      <c r="A128" s="26"/>
      <c r="B128" s="99"/>
      <c r="C128" s="57"/>
      <c r="D128" s="26"/>
      <c r="E128" s="34"/>
      <c r="F128" s="35"/>
      <c r="G128" s="35"/>
      <c r="H128" s="26"/>
    </row>
    <row r="129" spans="1:8" ht="25.5" hidden="1" x14ac:dyDescent="0.25">
      <c r="A129" s="40"/>
      <c r="B129" s="98"/>
      <c r="C129" s="107" t="s">
        <v>9</v>
      </c>
      <c r="D129" s="40"/>
      <c r="E129" s="41"/>
      <c r="F129" s="42"/>
      <c r="G129" s="42">
        <f>SUM(G124:G128)</f>
        <v>0</v>
      </c>
      <c r="H129" s="40">
        <f>SUM(H124:H124)</f>
        <v>0</v>
      </c>
    </row>
    <row r="130" spans="1:8" ht="25.5" hidden="1" x14ac:dyDescent="0.25">
      <c r="A130" s="43">
        <v>1</v>
      </c>
      <c r="B130" s="91" t="s">
        <v>41</v>
      </c>
      <c r="C130" s="112"/>
      <c r="D130" s="26"/>
      <c r="E130" s="34"/>
      <c r="F130" s="35"/>
      <c r="G130" s="35"/>
      <c r="H130" s="35" t="s">
        <v>397</v>
      </c>
    </row>
    <row r="131" spans="1:8" ht="25.5" hidden="1" x14ac:dyDescent="0.25">
      <c r="A131" s="43">
        <v>2</v>
      </c>
      <c r="B131" s="91" t="s">
        <v>41</v>
      </c>
      <c r="C131" s="112"/>
      <c r="D131" s="26"/>
      <c r="E131" s="34"/>
      <c r="F131" s="35"/>
      <c r="G131" s="35"/>
      <c r="H131" s="35" t="s">
        <v>397</v>
      </c>
    </row>
    <row r="132" spans="1:8" ht="25.5" hidden="1" x14ac:dyDescent="0.25">
      <c r="A132" s="43">
        <v>3</v>
      </c>
      <c r="B132" s="91" t="s">
        <v>41</v>
      </c>
      <c r="C132" s="57"/>
      <c r="D132" s="26"/>
      <c r="E132" s="34"/>
      <c r="F132" s="35"/>
      <c r="G132" s="35"/>
      <c r="H132" s="35" t="s">
        <v>397</v>
      </c>
    </row>
    <row r="133" spans="1:8" ht="25.5" hidden="1" x14ac:dyDescent="0.25">
      <c r="A133" s="43">
        <v>4</v>
      </c>
      <c r="B133" s="91" t="s">
        <v>41</v>
      </c>
      <c r="C133" s="57"/>
      <c r="D133" s="26"/>
      <c r="E133" s="34"/>
      <c r="F133" s="35"/>
      <c r="G133" s="35"/>
      <c r="H133" s="35" t="s">
        <v>397</v>
      </c>
    </row>
    <row r="134" spans="1:8" ht="25.5" hidden="1" x14ac:dyDescent="0.25">
      <c r="A134" s="40"/>
      <c r="B134" s="98"/>
      <c r="C134" s="107" t="s">
        <v>9</v>
      </c>
      <c r="D134" s="40"/>
      <c r="E134" s="41"/>
      <c r="F134" s="42"/>
      <c r="G134" s="42">
        <f>SUM(G130:G133)</f>
        <v>0</v>
      </c>
      <c r="H134" s="40">
        <f>SUM(H130:H133)</f>
        <v>0</v>
      </c>
    </row>
    <row r="135" spans="1:8" x14ac:dyDescent="0.25">
      <c r="A135" s="92">
        <v>7</v>
      </c>
      <c r="B135" s="95" t="s">
        <v>70</v>
      </c>
      <c r="C135" s="112" t="s">
        <v>467</v>
      </c>
      <c r="D135" s="26" t="s">
        <v>7</v>
      </c>
      <c r="E135" s="34">
        <v>3</v>
      </c>
      <c r="F135" s="35">
        <v>8.1</v>
      </c>
      <c r="G135" s="35">
        <v>24.3</v>
      </c>
      <c r="H135" s="35" t="s">
        <v>397</v>
      </c>
    </row>
    <row r="136" spans="1:8" x14ac:dyDescent="0.25">
      <c r="A136" s="94"/>
      <c r="B136" s="97"/>
      <c r="C136" s="112" t="s">
        <v>468</v>
      </c>
      <c r="D136" s="26" t="s">
        <v>7</v>
      </c>
      <c r="E136" s="34">
        <v>1</v>
      </c>
      <c r="F136" s="35">
        <v>4.45</v>
      </c>
      <c r="G136" s="35">
        <v>4.45</v>
      </c>
      <c r="H136" s="35" t="s">
        <v>397</v>
      </c>
    </row>
    <row r="137" spans="1:8" ht="25.5" hidden="1" x14ac:dyDescent="0.25">
      <c r="A137" s="43"/>
      <c r="B137" s="91"/>
      <c r="C137" s="112"/>
      <c r="D137" s="26"/>
      <c r="E137" s="34"/>
      <c r="F137" s="35"/>
      <c r="G137" s="35"/>
      <c r="H137" s="35"/>
    </row>
    <row r="138" spans="1:8" ht="25.5" hidden="1" x14ac:dyDescent="0.25">
      <c r="A138" s="43"/>
      <c r="B138" s="91"/>
      <c r="C138" s="112"/>
      <c r="D138" s="26"/>
      <c r="E138" s="34"/>
      <c r="F138" s="35"/>
      <c r="G138" s="35"/>
      <c r="H138" s="35"/>
    </row>
    <row r="139" spans="1:8" ht="25.5" hidden="1" x14ac:dyDescent="0.25">
      <c r="A139" s="43"/>
      <c r="B139" s="91"/>
      <c r="C139" s="112"/>
      <c r="D139" s="26"/>
      <c r="E139" s="34"/>
      <c r="F139" s="35"/>
      <c r="G139" s="35"/>
      <c r="H139" s="35"/>
    </row>
    <row r="140" spans="1:8" ht="25.5" hidden="1" x14ac:dyDescent="0.25">
      <c r="A140" s="43"/>
      <c r="B140" s="91" t="s">
        <v>70</v>
      </c>
      <c r="C140" s="112"/>
      <c r="D140" s="26"/>
      <c r="E140" s="34"/>
      <c r="F140" s="35"/>
      <c r="G140" s="35"/>
      <c r="H140" s="35" t="s">
        <v>397</v>
      </c>
    </row>
    <row r="141" spans="1:8" ht="25.5" x14ac:dyDescent="0.25">
      <c r="A141" s="40"/>
      <c r="B141" s="98"/>
      <c r="C141" s="107" t="s">
        <v>9</v>
      </c>
      <c r="D141" s="40"/>
      <c r="E141" s="41"/>
      <c r="F141" s="42"/>
      <c r="G141" s="42">
        <f>SUM(G135:G140)</f>
        <v>28.75</v>
      </c>
      <c r="H141" s="40">
        <f>SUM(H135:H140)</f>
        <v>0</v>
      </c>
    </row>
    <row r="142" spans="1:8" x14ac:dyDescent="0.25">
      <c r="A142" s="82">
        <v>8</v>
      </c>
      <c r="B142" s="88" t="s">
        <v>42</v>
      </c>
      <c r="C142" s="112" t="s">
        <v>477</v>
      </c>
      <c r="D142" s="26" t="s">
        <v>7</v>
      </c>
      <c r="E142" s="34">
        <v>100</v>
      </c>
      <c r="F142" s="35">
        <v>25</v>
      </c>
      <c r="G142" s="35">
        <v>2500</v>
      </c>
      <c r="H142" s="35" t="s">
        <v>397</v>
      </c>
    </row>
    <row r="143" spans="1:8" x14ac:dyDescent="0.25">
      <c r="A143" s="87"/>
      <c r="B143" s="89"/>
      <c r="C143" s="112" t="s">
        <v>478</v>
      </c>
      <c r="D143" s="26" t="s">
        <v>7</v>
      </c>
      <c r="E143" s="34">
        <v>166</v>
      </c>
      <c r="F143" s="35">
        <v>15</v>
      </c>
      <c r="G143" s="35">
        <v>2490</v>
      </c>
      <c r="H143" s="35" t="s">
        <v>397</v>
      </c>
    </row>
    <row r="144" spans="1:8" x14ac:dyDescent="0.25">
      <c r="A144" s="87"/>
      <c r="B144" s="89"/>
      <c r="C144" s="57" t="s">
        <v>479</v>
      </c>
      <c r="D144" s="26" t="s">
        <v>7</v>
      </c>
      <c r="E144" s="34">
        <v>160</v>
      </c>
      <c r="F144" s="35">
        <v>5</v>
      </c>
      <c r="G144" s="35">
        <v>800</v>
      </c>
      <c r="H144" s="35" t="s">
        <v>397</v>
      </c>
    </row>
    <row r="145" spans="1:9" x14ac:dyDescent="0.25">
      <c r="A145" s="87"/>
      <c r="B145" s="89"/>
      <c r="C145" s="57" t="s">
        <v>60</v>
      </c>
      <c r="D145" s="26" t="s">
        <v>7</v>
      </c>
      <c r="E145" s="34">
        <v>395</v>
      </c>
      <c r="F145" s="35">
        <v>10</v>
      </c>
      <c r="G145" s="35">
        <v>3950</v>
      </c>
      <c r="H145" s="35" t="s">
        <v>397</v>
      </c>
    </row>
    <row r="146" spans="1:9" x14ac:dyDescent="0.25">
      <c r="A146" s="87"/>
      <c r="B146" s="89"/>
      <c r="C146" s="171" t="s">
        <v>480</v>
      </c>
      <c r="D146" s="26" t="s">
        <v>7</v>
      </c>
      <c r="E146" s="34">
        <v>414</v>
      </c>
      <c r="F146" s="35">
        <v>2</v>
      </c>
      <c r="G146" s="35">
        <v>828</v>
      </c>
      <c r="H146" s="35" t="s">
        <v>397</v>
      </c>
    </row>
    <row r="147" spans="1:9" x14ac:dyDescent="0.25">
      <c r="A147" s="83"/>
      <c r="B147" s="90"/>
      <c r="C147" s="171" t="s">
        <v>481</v>
      </c>
      <c r="D147" s="26" t="s">
        <v>7</v>
      </c>
      <c r="E147" s="34">
        <v>306</v>
      </c>
      <c r="F147" s="35">
        <v>5</v>
      </c>
      <c r="G147" s="35">
        <v>1530</v>
      </c>
      <c r="H147" s="35" t="s">
        <v>397</v>
      </c>
    </row>
    <row r="148" spans="1:9" x14ac:dyDescent="0.25">
      <c r="A148" s="40"/>
      <c r="B148" s="40"/>
      <c r="C148" s="107" t="s">
        <v>9</v>
      </c>
      <c r="D148" s="40"/>
      <c r="E148" s="41"/>
      <c r="F148" s="42"/>
      <c r="G148" s="42">
        <f>SUM(G142:G147)</f>
        <v>12098</v>
      </c>
      <c r="H148" s="40">
        <f>SUM(H142:H147)</f>
        <v>0</v>
      </c>
    </row>
    <row r="149" spans="1:9" hidden="1" x14ac:dyDescent="0.25">
      <c r="A149" s="43"/>
      <c r="B149" s="43"/>
      <c r="C149" s="171"/>
      <c r="D149" s="26"/>
      <c r="E149" s="34"/>
      <c r="F149" s="35"/>
      <c r="G149" s="35"/>
      <c r="H149" s="35" t="s">
        <v>397</v>
      </c>
    </row>
    <row r="150" spans="1:9" hidden="1" x14ac:dyDescent="0.25">
      <c r="A150" s="43"/>
      <c r="B150" s="43"/>
      <c r="C150" s="57"/>
      <c r="D150" s="26"/>
      <c r="E150" s="34"/>
      <c r="F150" s="35"/>
      <c r="G150" s="35"/>
      <c r="H150" s="35" t="s">
        <v>397</v>
      </c>
    </row>
    <row r="151" spans="1:9" hidden="1" x14ac:dyDescent="0.25">
      <c r="A151" s="43"/>
      <c r="B151" s="43"/>
      <c r="C151" s="112"/>
      <c r="D151" s="26"/>
      <c r="E151" s="34"/>
      <c r="F151" s="35"/>
      <c r="G151" s="35"/>
      <c r="H151" s="35" t="s">
        <v>397</v>
      </c>
    </row>
    <row r="152" spans="1:9" hidden="1" x14ac:dyDescent="0.25">
      <c r="A152" s="40"/>
      <c r="B152" s="40"/>
      <c r="C152" s="107" t="s">
        <v>9</v>
      </c>
      <c r="D152" s="40"/>
      <c r="E152" s="41"/>
      <c r="F152" s="42"/>
      <c r="G152" s="42">
        <f>SUM(G149:G151)</f>
        <v>0</v>
      </c>
      <c r="H152" s="40"/>
      <c r="I152" s="39"/>
    </row>
    <row r="153" spans="1:9" ht="46.5" hidden="1" customHeight="1" x14ac:dyDescent="0.25">
      <c r="A153" s="43"/>
      <c r="B153" s="43" t="s">
        <v>43</v>
      </c>
      <c r="C153" s="112"/>
      <c r="D153" s="26"/>
      <c r="E153" s="34"/>
      <c r="F153" s="35"/>
      <c r="G153" s="35"/>
      <c r="H153" s="40"/>
      <c r="I153" s="39"/>
    </row>
    <row r="154" spans="1:9" hidden="1" x14ac:dyDescent="0.25">
      <c r="A154" s="43"/>
      <c r="B154" s="43"/>
      <c r="C154" s="57"/>
      <c r="D154" s="26"/>
      <c r="E154" s="34"/>
      <c r="F154" s="35"/>
      <c r="G154" s="35"/>
      <c r="H154" s="40"/>
      <c r="I154" s="39"/>
    </row>
    <row r="155" spans="1:9" hidden="1" x14ac:dyDescent="0.25">
      <c r="A155" s="43"/>
      <c r="B155" s="43"/>
      <c r="C155" s="57"/>
      <c r="D155" s="26"/>
      <c r="E155" s="34"/>
      <c r="F155" s="35"/>
      <c r="G155" s="35"/>
      <c r="H155" s="40"/>
      <c r="I155" s="39"/>
    </row>
    <row r="156" spans="1:9" hidden="1" x14ac:dyDescent="0.25">
      <c r="A156" s="40"/>
      <c r="B156" s="40"/>
      <c r="C156" s="107"/>
      <c r="D156" s="40"/>
      <c r="E156" s="41"/>
      <c r="F156" s="42"/>
      <c r="G156" s="42">
        <f>SUM(G153:G155)</f>
        <v>0</v>
      </c>
      <c r="H156" s="40"/>
      <c r="I156" s="39"/>
    </row>
    <row r="157" spans="1:9" x14ac:dyDescent="0.25">
      <c r="A157" s="159" t="s">
        <v>482</v>
      </c>
      <c r="B157" s="160"/>
      <c r="C157" s="169"/>
      <c r="D157" s="45"/>
      <c r="E157" s="49"/>
      <c r="F157" s="50"/>
      <c r="G157" s="50">
        <f>G152+G148+G141+G134+G129+G123+G117+G111+G102+G96+G91+G85+G79+G72+G68+G61+G54+G48+G33+G28+G23+G18+G14+G156</f>
        <v>38291.199999999997</v>
      </c>
      <c r="H157" s="45"/>
      <c r="I157" s="39"/>
    </row>
    <row r="159" spans="1:9" x14ac:dyDescent="0.25">
      <c r="B159" s="36" t="s">
        <v>63</v>
      </c>
    </row>
  </sheetData>
  <mergeCells count="18">
    <mergeCell ref="A142:A147"/>
    <mergeCell ref="B142:B147"/>
    <mergeCell ref="A1:H1"/>
    <mergeCell ref="A157:B157"/>
    <mergeCell ref="A3:A13"/>
    <mergeCell ref="B3:B13"/>
    <mergeCell ref="A62:A63"/>
    <mergeCell ref="B62:B63"/>
    <mergeCell ref="A73:A74"/>
    <mergeCell ref="B73:B74"/>
    <mergeCell ref="A103:A104"/>
    <mergeCell ref="B103:B104"/>
    <mergeCell ref="A112:A116"/>
    <mergeCell ref="B112:B116"/>
    <mergeCell ref="A118:A119"/>
    <mergeCell ref="B118:B119"/>
    <mergeCell ref="A135:A136"/>
    <mergeCell ref="B135:B136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7"/>
  <sheetViews>
    <sheetView view="pageBreakPreview" zoomScaleNormal="87" zoomScaleSheetLayoutView="100" workbookViewId="0">
      <pane ySplit="2" topLeftCell="A3" activePane="bottomLeft" state="frozen"/>
      <selection pane="bottomLeft" activeCell="B2" sqref="B2"/>
    </sheetView>
  </sheetViews>
  <sheetFormatPr defaultRowHeight="15" x14ac:dyDescent="0.25"/>
  <cols>
    <col min="1" max="1" width="3.85546875" style="36" customWidth="1"/>
    <col min="2" max="2" width="29.42578125" style="36" customWidth="1"/>
    <col min="3" max="3" width="35.7109375" style="170" customWidth="1"/>
    <col min="4" max="4" width="11.85546875" style="36" customWidth="1"/>
    <col min="5" max="5" width="9.140625" style="52" customWidth="1"/>
    <col min="6" max="6" width="14.7109375" style="39" customWidth="1"/>
    <col min="7" max="7" width="13.85546875" style="39" customWidth="1"/>
    <col min="8" max="8" width="22.85546875" style="36" hidden="1" customWidth="1"/>
    <col min="9" max="16384" width="9.140625" style="36"/>
  </cols>
  <sheetData>
    <row r="1" spans="1:8" ht="18.75" x14ac:dyDescent="0.25">
      <c r="A1" s="86" t="s">
        <v>484</v>
      </c>
      <c r="B1" s="86"/>
      <c r="C1" s="86"/>
      <c r="D1" s="86"/>
      <c r="E1" s="86"/>
      <c r="F1" s="86"/>
      <c r="G1" s="86"/>
      <c r="H1" s="86"/>
    </row>
    <row r="2" spans="1:8" ht="47.25" x14ac:dyDescent="0.25">
      <c r="A2" s="22" t="s">
        <v>0</v>
      </c>
      <c r="B2" s="23" t="s">
        <v>1</v>
      </c>
      <c r="C2" s="166" t="s">
        <v>2</v>
      </c>
      <c r="D2" s="23" t="s">
        <v>3</v>
      </c>
      <c r="E2" s="24" t="s">
        <v>4</v>
      </c>
      <c r="F2" s="25" t="s">
        <v>5</v>
      </c>
      <c r="G2" s="25" t="s">
        <v>6</v>
      </c>
      <c r="H2" s="20" t="s">
        <v>54</v>
      </c>
    </row>
    <row r="3" spans="1:8" x14ac:dyDescent="0.25">
      <c r="A3" s="82">
        <v>1</v>
      </c>
      <c r="B3" s="88" t="s">
        <v>55</v>
      </c>
      <c r="C3" s="112" t="s">
        <v>485</v>
      </c>
      <c r="D3" s="26" t="s">
        <v>7</v>
      </c>
      <c r="E3" s="34">
        <v>8</v>
      </c>
      <c r="F3" s="35">
        <v>80</v>
      </c>
      <c r="G3" s="35">
        <v>640</v>
      </c>
      <c r="H3" s="35" t="s">
        <v>397</v>
      </c>
    </row>
    <row r="4" spans="1:8" x14ac:dyDescent="0.25">
      <c r="A4" s="83"/>
      <c r="B4" s="90"/>
      <c r="C4" s="112" t="s">
        <v>530</v>
      </c>
      <c r="D4" s="26" t="s">
        <v>7</v>
      </c>
      <c r="E4" s="34">
        <v>1</v>
      </c>
      <c r="F4" s="35">
        <v>5083.2299999999996</v>
      </c>
      <c r="G4" s="35">
        <v>5083.2299999999996</v>
      </c>
      <c r="H4" s="26" t="s">
        <v>398</v>
      </c>
    </row>
    <row r="5" spans="1:8" ht="25.5" hidden="1" x14ac:dyDescent="0.25">
      <c r="A5" s="26">
        <v>6</v>
      </c>
      <c r="B5" s="99" t="s">
        <v>55</v>
      </c>
      <c r="C5" s="171"/>
      <c r="D5" s="26"/>
      <c r="E5" s="37"/>
      <c r="F5" s="38"/>
      <c r="G5" s="38"/>
      <c r="H5" s="26" t="s">
        <v>398</v>
      </c>
    </row>
    <row r="6" spans="1:8" ht="25.5" hidden="1" x14ac:dyDescent="0.25">
      <c r="A6" s="26">
        <v>7</v>
      </c>
      <c r="B6" s="99" t="s">
        <v>55</v>
      </c>
      <c r="C6" s="112"/>
      <c r="D6" s="26"/>
      <c r="E6" s="37"/>
      <c r="F6" s="38"/>
      <c r="G6" s="38"/>
      <c r="H6" s="26" t="s">
        <v>398</v>
      </c>
    </row>
    <row r="7" spans="1:8" ht="25.5" hidden="1" x14ac:dyDescent="0.25">
      <c r="A7" s="26">
        <v>8</v>
      </c>
      <c r="B7" s="99" t="s">
        <v>55</v>
      </c>
      <c r="C7" s="112"/>
      <c r="D7" s="26"/>
      <c r="E7" s="37"/>
      <c r="F7" s="38"/>
      <c r="G7" s="38"/>
      <c r="H7" s="26" t="s">
        <v>398</v>
      </c>
    </row>
    <row r="8" spans="1:8" ht="25.5" hidden="1" x14ac:dyDescent="0.25">
      <c r="A8" s="26">
        <v>9</v>
      </c>
      <c r="B8" s="99" t="s">
        <v>55</v>
      </c>
      <c r="C8" s="112"/>
      <c r="D8" s="26"/>
      <c r="E8" s="37"/>
      <c r="F8" s="38"/>
      <c r="G8" s="38"/>
      <c r="H8" s="26" t="s">
        <v>398</v>
      </c>
    </row>
    <row r="9" spans="1:8" ht="25.5" hidden="1" x14ac:dyDescent="0.25">
      <c r="A9" s="26">
        <v>10</v>
      </c>
      <c r="B9" s="99" t="s">
        <v>55</v>
      </c>
      <c r="C9" s="112"/>
      <c r="D9" s="26"/>
      <c r="E9" s="37"/>
      <c r="F9" s="38"/>
      <c r="G9" s="38"/>
      <c r="H9" s="26" t="s">
        <v>398</v>
      </c>
    </row>
    <row r="10" spans="1:8" ht="25.5" hidden="1" x14ac:dyDescent="0.25">
      <c r="A10" s="26">
        <v>11</v>
      </c>
      <c r="B10" s="99" t="s">
        <v>55</v>
      </c>
      <c r="C10" s="112"/>
      <c r="D10" s="26"/>
      <c r="E10" s="37"/>
      <c r="F10" s="38"/>
      <c r="G10" s="38"/>
      <c r="H10" s="26" t="s">
        <v>398</v>
      </c>
    </row>
    <row r="11" spans="1:8" ht="25.5" hidden="1" x14ac:dyDescent="0.25">
      <c r="A11" s="26">
        <v>12</v>
      </c>
      <c r="B11" s="99" t="s">
        <v>55</v>
      </c>
      <c r="C11" s="112"/>
      <c r="D11" s="26"/>
      <c r="E11" s="37"/>
      <c r="F11" s="38"/>
      <c r="G11" s="38"/>
      <c r="H11" s="26" t="s">
        <v>398</v>
      </c>
    </row>
    <row r="12" spans="1:8" ht="25.5" hidden="1" x14ac:dyDescent="0.25">
      <c r="A12" s="26">
        <v>13</v>
      </c>
      <c r="B12" s="99" t="s">
        <v>55</v>
      </c>
      <c r="C12" s="112"/>
      <c r="D12" s="26"/>
      <c r="E12" s="37"/>
      <c r="F12" s="38"/>
      <c r="G12" s="38"/>
      <c r="H12" s="26" t="s">
        <v>398</v>
      </c>
    </row>
    <row r="13" spans="1:8" ht="25.5" hidden="1" x14ac:dyDescent="0.25">
      <c r="A13" s="26">
        <v>14</v>
      </c>
      <c r="B13" s="99" t="s">
        <v>55</v>
      </c>
      <c r="C13" s="112"/>
      <c r="D13" s="26"/>
      <c r="E13" s="37"/>
      <c r="F13" s="38"/>
      <c r="G13" s="38"/>
      <c r="H13" s="26" t="s">
        <v>398</v>
      </c>
    </row>
    <row r="14" spans="1:8" ht="25.5" hidden="1" x14ac:dyDescent="0.25">
      <c r="A14" s="26"/>
      <c r="B14" s="99"/>
      <c r="C14" s="112"/>
      <c r="D14" s="26"/>
      <c r="E14" s="37"/>
      <c r="F14" s="38"/>
      <c r="G14" s="38"/>
      <c r="H14" s="26"/>
    </row>
    <row r="15" spans="1:8" ht="25.5" hidden="1" x14ac:dyDescent="0.25">
      <c r="A15" s="26"/>
      <c r="B15" s="99"/>
      <c r="C15" s="112"/>
      <c r="D15" s="26"/>
      <c r="E15" s="37"/>
      <c r="F15" s="38"/>
      <c r="G15" s="38"/>
      <c r="H15" s="26"/>
    </row>
    <row r="16" spans="1:8" ht="25.5" hidden="1" x14ac:dyDescent="0.25">
      <c r="A16" s="26"/>
      <c r="B16" s="99"/>
      <c r="C16" s="112"/>
      <c r="D16" s="26"/>
      <c r="E16" s="37"/>
      <c r="F16" s="38"/>
      <c r="G16" s="38"/>
      <c r="H16" s="26"/>
    </row>
    <row r="17" spans="1:8" ht="25.5" hidden="1" x14ac:dyDescent="0.25">
      <c r="A17" s="26"/>
      <c r="B17" s="99"/>
      <c r="C17" s="112"/>
      <c r="D17" s="26"/>
      <c r="E17" s="37"/>
      <c r="F17" s="38"/>
      <c r="G17" s="38"/>
      <c r="H17" s="26"/>
    </row>
    <row r="18" spans="1:8" ht="25.5" hidden="1" x14ac:dyDescent="0.25">
      <c r="A18" s="26"/>
      <c r="B18" s="99"/>
      <c r="C18" s="112"/>
      <c r="D18" s="26"/>
      <c r="E18" s="37"/>
      <c r="F18" s="38"/>
      <c r="G18" s="38"/>
      <c r="H18" s="26"/>
    </row>
    <row r="19" spans="1:8" ht="25.5" hidden="1" x14ac:dyDescent="0.25">
      <c r="A19" s="26"/>
      <c r="B19" s="99"/>
      <c r="C19" s="112"/>
      <c r="D19" s="26"/>
      <c r="E19" s="37"/>
      <c r="F19" s="38"/>
      <c r="G19" s="38"/>
      <c r="H19" s="26"/>
    </row>
    <row r="20" spans="1:8" ht="25.5" hidden="1" x14ac:dyDescent="0.25">
      <c r="A20" s="26"/>
      <c r="B20" s="99"/>
      <c r="C20" s="112"/>
      <c r="D20" s="26"/>
      <c r="E20" s="37"/>
      <c r="F20" s="38"/>
      <c r="G20" s="38"/>
      <c r="H20" s="26"/>
    </row>
    <row r="21" spans="1:8" ht="25.5" hidden="1" x14ac:dyDescent="0.25">
      <c r="A21" s="26"/>
      <c r="B21" s="99"/>
      <c r="C21" s="112"/>
      <c r="D21" s="26"/>
      <c r="E21" s="37"/>
      <c r="F21" s="38"/>
      <c r="G21" s="38"/>
      <c r="H21" s="26"/>
    </row>
    <row r="22" spans="1:8" ht="25.5" hidden="1" x14ac:dyDescent="0.25">
      <c r="A22" s="26"/>
      <c r="B22" s="99"/>
      <c r="C22" s="112"/>
      <c r="D22" s="26"/>
      <c r="E22" s="37"/>
      <c r="F22" s="38"/>
      <c r="G22" s="38"/>
      <c r="H22" s="26"/>
    </row>
    <row r="23" spans="1:8" ht="25.5" hidden="1" x14ac:dyDescent="0.25">
      <c r="A23" s="26"/>
      <c r="B23" s="99"/>
      <c r="C23" s="112"/>
      <c r="D23" s="26"/>
      <c r="E23" s="37"/>
      <c r="F23" s="38"/>
      <c r="G23" s="38"/>
      <c r="H23" s="26"/>
    </row>
    <row r="24" spans="1:8" ht="25.5" hidden="1" x14ac:dyDescent="0.25">
      <c r="A24" s="26"/>
      <c r="B24" s="99"/>
      <c r="C24" s="112"/>
      <c r="D24" s="26"/>
      <c r="E24" s="37"/>
      <c r="F24" s="38"/>
      <c r="G24" s="38"/>
      <c r="H24" s="26"/>
    </row>
    <row r="25" spans="1:8" ht="25.5" hidden="1" x14ac:dyDescent="0.25">
      <c r="A25" s="26"/>
      <c r="B25" s="99"/>
      <c r="C25" s="112"/>
      <c r="D25" s="26"/>
      <c r="E25" s="37"/>
      <c r="F25" s="38"/>
      <c r="G25" s="38"/>
      <c r="H25" s="26"/>
    </row>
    <row r="26" spans="1:8" ht="25.5" hidden="1" x14ac:dyDescent="0.25">
      <c r="A26" s="26"/>
      <c r="B26" s="99"/>
      <c r="C26" s="112"/>
      <c r="D26" s="26"/>
      <c r="E26" s="37"/>
      <c r="F26" s="38"/>
      <c r="G26" s="38"/>
      <c r="H26" s="26"/>
    </row>
    <row r="27" spans="1:8" ht="25.5" hidden="1" x14ac:dyDescent="0.25">
      <c r="A27" s="26"/>
      <c r="B27" s="99"/>
      <c r="C27" s="112"/>
      <c r="D27" s="26"/>
      <c r="E27" s="37"/>
      <c r="F27" s="38"/>
      <c r="G27" s="38"/>
      <c r="H27" s="26"/>
    </row>
    <row r="28" spans="1:8" ht="25.5" hidden="1" x14ac:dyDescent="0.25">
      <c r="A28" s="26"/>
      <c r="B28" s="99"/>
      <c r="C28" s="112"/>
      <c r="D28" s="26"/>
      <c r="E28" s="37"/>
      <c r="F28" s="38"/>
      <c r="G28" s="38"/>
      <c r="H28" s="26"/>
    </row>
    <row r="29" spans="1:8" ht="25.5" hidden="1" x14ac:dyDescent="0.25">
      <c r="A29" s="26"/>
      <c r="B29" s="99"/>
      <c r="C29" s="112"/>
      <c r="D29" s="26"/>
      <c r="E29" s="37"/>
      <c r="F29" s="38"/>
      <c r="G29" s="38"/>
      <c r="H29" s="26"/>
    </row>
    <row r="30" spans="1:8" ht="25.5" hidden="1" x14ac:dyDescent="0.25">
      <c r="A30" s="26"/>
      <c r="B30" s="99"/>
      <c r="C30" s="112"/>
      <c r="D30" s="26"/>
      <c r="E30" s="37"/>
      <c r="F30" s="38"/>
      <c r="G30" s="38"/>
      <c r="H30" s="26"/>
    </row>
    <row r="31" spans="1:8" ht="25.5" hidden="1" x14ac:dyDescent="0.25">
      <c r="A31" s="26"/>
      <c r="B31" s="99"/>
      <c r="C31" s="112"/>
      <c r="D31" s="26"/>
      <c r="E31" s="37"/>
      <c r="F31" s="38"/>
      <c r="G31" s="38"/>
      <c r="H31" s="26"/>
    </row>
    <row r="32" spans="1:8" ht="25.5" hidden="1" x14ac:dyDescent="0.25">
      <c r="A32" s="26"/>
      <c r="B32" s="99"/>
      <c r="C32" s="112"/>
      <c r="D32" s="26"/>
      <c r="E32" s="37"/>
      <c r="F32" s="38"/>
      <c r="G32" s="38"/>
      <c r="H32" s="26"/>
    </row>
    <row r="33" spans="1:10" ht="25.5" hidden="1" x14ac:dyDescent="0.25">
      <c r="A33" s="26"/>
      <c r="B33" s="99"/>
      <c r="C33" s="112"/>
      <c r="D33" s="26"/>
      <c r="E33" s="37"/>
      <c r="F33" s="38"/>
      <c r="G33" s="38"/>
      <c r="H33" s="26"/>
      <c r="J33" s="26"/>
    </row>
    <row r="34" spans="1:10" ht="25.5" hidden="1" x14ac:dyDescent="0.25">
      <c r="A34" s="26"/>
      <c r="B34" s="99"/>
      <c r="C34" s="112"/>
      <c r="D34" s="26"/>
      <c r="E34" s="37"/>
      <c r="F34" s="38"/>
      <c r="G34" s="38"/>
      <c r="H34" s="26"/>
    </row>
    <row r="35" spans="1:10" ht="25.5" hidden="1" x14ac:dyDescent="0.25">
      <c r="A35" s="26"/>
      <c r="B35" s="99"/>
      <c r="C35" s="112"/>
      <c r="D35" s="26"/>
      <c r="E35" s="37"/>
      <c r="F35" s="38"/>
      <c r="G35" s="38"/>
      <c r="H35" s="26"/>
    </row>
    <row r="36" spans="1:10" ht="25.5" hidden="1" x14ac:dyDescent="0.25">
      <c r="A36" s="26"/>
      <c r="B36" s="99"/>
      <c r="C36" s="112"/>
      <c r="D36" s="26"/>
      <c r="E36" s="37"/>
      <c r="F36" s="38"/>
      <c r="G36" s="38"/>
      <c r="H36" s="26"/>
    </row>
    <row r="37" spans="1:10" ht="25.5" hidden="1" x14ac:dyDescent="0.25">
      <c r="A37" s="26"/>
      <c r="B37" s="99"/>
      <c r="C37" s="112"/>
      <c r="D37" s="26"/>
      <c r="E37" s="37"/>
      <c r="F37" s="38"/>
      <c r="G37" s="38"/>
      <c r="H37" s="26"/>
    </row>
    <row r="38" spans="1:10" ht="25.5" hidden="1" x14ac:dyDescent="0.25">
      <c r="A38" s="26"/>
      <c r="B38" s="99"/>
      <c r="C38" s="112"/>
      <c r="D38" s="26"/>
      <c r="E38" s="37"/>
      <c r="F38" s="38"/>
      <c r="G38" s="38"/>
      <c r="H38" s="26"/>
    </row>
    <row r="39" spans="1:10" ht="25.5" hidden="1" x14ac:dyDescent="0.25">
      <c r="A39" s="26"/>
      <c r="B39" s="99"/>
      <c r="C39" s="112"/>
      <c r="D39" s="26"/>
      <c r="E39" s="37"/>
      <c r="F39" s="38"/>
      <c r="G39" s="38"/>
      <c r="H39" s="26"/>
    </row>
    <row r="40" spans="1:10" ht="25.5" hidden="1" x14ac:dyDescent="0.25">
      <c r="A40" s="26"/>
      <c r="B40" s="99"/>
      <c r="C40" s="112"/>
      <c r="D40" s="26"/>
      <c r="E40" s="37"/>
      <c r="F40" s="38"/>
      <c r="G40" s="38"/>
      <c r="H40" s="26"/>
    </row>
    <row r="41" spans="1:10" ht="25.5" hidden="1" x14ac:dyDescent="0.25">
      <c r="A41" s="26"/>
      <c r="B41" s="99"/>
      <c r="C41" s="112"/>
      <c r="D41" s="26"/>
      <c r="E41" s="37"/>
      <c r="F41" s="38"/>
      <c r="G41" s="38"/>
      <c r="H41" s="26"/>
    </row>
    <row r="42" spans="1:10" ht="25.5" hidden="1" x14ac:dyDescent="0.25">
      <c r="A42" s="26"/>
      <c r="B42" s="99"/>
      <c r="C42" s="112"/>
      <c r="D42" s="26"/>
      <c r="E42" s="37"/>
      <c r="F42" s="38"/>
      <c r="G42" s="38"/>
      <c r="H42" s="26"/>
    </row>
    <row r="43" spans="1:10" ht="25.5" hidden="1" x14ac:dyDescent="0.25">
      <c r="A43" s="26"/>
      <c r="B43" s="99"/>
      <c r="C43" s="112"/>
      <c r="D43" s="26"/>
      <c r="E43" s="37"/>
      <c r="F43" s="38"/>
      <c r="G43" s="38"/>
      <c r="H43" s="26"/>
    </row>
    <row r="44" spans="1:10" ht="25.5" hidden="1" x14ac:dyDescent="0.25">
      <c r="A44" s="26"/>
      <c r="B44" s="99"/>
      <c r="C44" s="112"/>
      <c r="D44" s="26"/>
      <c r="E44" s="37"/>
      <c r="F44" s="38"/>
      <c r="G44" s="38"/>
      <c r="H44" s="26"/>
    </row>
    <row r="45" spans="1:10" ht="25.5" hidden="1" x14ac:dyDescent="0.25">
      <c r="A45" s="26"/>
      <c r="B45" s="99"/>
      <c r="C45" s="112"/>
      <c r="D45" s="26"/>
      <c r="E45" s="37"/>
      <c r="F45" s="38"/>
      <c r="G45" s="38"/>
      <c r="H45" s="26"/>
    </row>
    <row r="46" spans="1:10" ht="15" hidden="1" customHeight="1" x14ac:dyDescent="0.25">
      <c r="A46" s="26"/>
      <c r="B46" s="99"/>
      <c r="C46" s="112"/>
      <c r="D46" s="26"/>
      <c r="E46" s="37"/>
      <c r="F46" s="38"/>
      <c r="G46" s="38"/>
      <c r="H46" s="26"/>
    </row>
    <row r="47" spans="1:10" ht="15" hidden="1" customHeight="1" x14ac:dyDescent="0.25">
      <c r="A47" s="26"/>
      <c r="B47" s="99"/>
      <c r="C47" s="112"/>
      <c r="D47" s="26"/>
      <c r="E47" s="37"/>
      <c r="F47" s="38"/>
      <c r="G47" s="38"/>
      <c r="H47" s="26"/>
    </row>
    <row r="48" spans="1:10" ht="15" hidden="1" customHeight="1" x14ac:dyDescent="0.25">
      <c r="A48" s="26"/>
      <c r="B48" s="99"/>
      <c r="C48" s="112"/>
      <c r="D48" s="26"/>
      <c r="E48" s="37"/>
      <c r="F48" s="38"/>
      <c r="G48" s="38"/>
      <c r="H48" s="26"/>
    </row>
    <row r="49" spans="1:8" ht="15" hidden="1" customHeight="1" x14ac:dyDescent="0.25">
      <c r="A49" s="26"/>
      <c r="B49" s="99"/>
      <c r="C49" s="112"/>
      <c r="D49" s="26"/>
      <c r="E49" s="37"/>
      <c r="F49" s="38"/>
      <c r="G49" s="38"/>
      <c r="H49" s="26"/>
    </row>
    <row r="50" spans="1:8" ht="15" hidden="1" customHeight="1" x14ac:dyDescent="0.25">
      <c r="A50" s="26"/>
      <c r="B50" s="99"/>
      <c r="C50" s="112"/>
      <c r="D50" s="26"/>
      <c r="E50" s="37"/>
      <c r="F50" s="38"/>
      <c r="G50" s="38"/>
      <c r="H50" s="26"/>
    </row>
    <row r="51" spans="1:8" ht="15" hidden="1" customHeight="1" x14ac:dyDescent="0.25">
      <c r="A51" s="26"/>
      <c r="B51" s="99"/>
      <c r="C51" s="112"/>
      <c r="D51" s="26"/>
      <c r="E51" s="37"/>
      <c r="F51" s="38"/>
      <c r="G51" s="38"/>
      <c r="H51" s="26"/>
    </row>
    <row r="52" spans="1:8" ht="15" customHeight="1" x14ac:dyDescent="0.25">
      <c r="A52" s="40"/>
      <c r="B52" s="98"/>
      <c r="C52" s="107"/>
      <c r="D52" s="40"/>
      <c r="E52" s="41"/>
      <c r="F52" s="42"/>
      <c r="G52" s="42">
        <f>SUM(G3:G51)</f>
        <v>5723.23</v>
      </c>
      <c r="H52" s="42">
        <f>SUM(H3:H51)</f>
        <v>0</v>
      </c>
    </row>
    <row r="53" spans="1:8" ht="15" customHeight="1" x14ac:dyDescent="0.25">
      <c r="A53" s="43">
        <v>2</v>
      </c>
      <c r="B53" s="91" t="s">
        <v>64</v>
      </c>
      <c r="C53" s="112" t="s">
        <v>530</v>
      </c>
      <c r="D53" s="26" t="s">
        <v>7</v>
      </c>
      <c r="E53" s="34">
        <v>1</v>
      </c>
      <c r="F53" s="35">
        <v>5083.2299999999996</v>
      </c>
      <c r="G53" s="35">
        <v>5083.2299999999996</v>
      </c>
      <c r="H53" s="35" t="s">
        <v>397</v>
      </c>
    </row>
    <row r="54" spans="1:8" ht="15" customHeight="1" x14ac:dyDescent="0.25">
      <c r="A54" s="40"/>
      <c r="B54" s="98"/>
      <c r="C54" s="107"/>
      <c r="D54" s="40"/>
      <c r="E54" s="41"/>
      <c r="F54" s="42"/>
      <c r="G54" s="42">
        <f>SUM(G53)</f>
        <v>5083.2299999999996</v>
      </c>
      <c r="H54" s="40"/>
    </row>
    <row r="55" spans="1:8" ht="15" customHeight="1" x14ac:dyDescent="0.25">
      <c r="A55" s="82">
        <v>3</v>
      </c>
      <c r="B55" s="88" t="s">
        <v>22</v>
      </c>
      <c r="C55" s="112" t="s">
        <v>530</v>
      </c>
      <c r="D55" s="26" t="s">
        <v>7</v>
      </c>
      <c r="E55" s="34">
        <v>1</v>
      </c>
      <c r="F55" s="35">
        <v>5083.2299999999996</v>
      </c>
      <c r="G55" s="35">
        <v>5083.2299999999996</v>
      </c>
      <c r="H55" s="35" t="s">
        <v>397</v>
      </c>
    </row>
    <row r="56" spans="1:8" ht="15" customHeight="1" x14ac:dyDescent="0.25">
      <c r="A56" s="87"/>
      <c r="B56" s="89"/>
      <c r="C56" s="112" t="s">
        <v>531</v>
      </c>
      <c r="D56" s="26" t="s">
        <v>7</v>
      </c>
      <c r="E56" s="34">
        <v>20</v>
      </c>
      <c r="F56" s="35">
        <v>220.15</v>
      </c>
      <c r="G56" s="35">
        <v>4403</v>
      </c>
      <c r="H56" s="35" t="s">
        <v>397</v>
      </c>
    </row>
    <row r="57" spans="1:8" ht="15" customHeight="1" x14ac:dyDescent="0.25">
      <c r="A57" s="83"/>
      <c r="B57" s="90"/>
      <c r="C57" s="112" t="s">
        <v>532</v>
      </c>
      <c r="D57" s="26" t="s">
        <v>7</v>
      </c>
      <c r="E57" s="34">
        <v>15</v>
      </c>
      <c r="F57" s="35">
        <v>1665</v>
      </c>
      <c r="G57" s="35">
        <v>24975</v>
      </c>
      <c r="H57" s="35" t="s">
        <v>397</v>
      </c>
    </row>
    <row r="58" spans="1:8" ht="25.5" x14ac:dyDescent="0.25">
      <c r="A58" s="40"/>
      <c r="B58" s="98"/>
      <c r="C58" s="107" t="s">
        <v>9</v>
      </c>
      <c r="D58" s="40"/>
      <c r="E58" s="41"/>
      <c r="F58" s="42"/>
      <c r="G58" s="42">
        <f>SUM(G55:G57)</f>
        <v>34461.229999999996</v>
      </c>
      <c r="H58" s="42">
        <f>SUM(H55:H57)</f>
        <v>0</v>
      </c>
    </row>
    <row r="59" spans="1:8" ht="25.5" x14ac:dyDescent="0.25">
      <c r="A59" s="26">
        <v>4</v>
      </c>
      <c r="B59" s="99" t="s">
        <v>88</v>
      </c>
      <c r="C59" s="112" t="s">
        <v>530</v>
      </c>
      <c r="D59" s="26" t="s">
        <v>7</v>
      </c>
      <c r="E59" s="34">
        <v>1</v>
      </c>
      <c r="F59" s="35">
        <v>5083.2299999999996</v>
      </c>
      <c r="G59" s="35">
        <v>5083.2299999999996</v>
      </c>
      <c r="H59" s="35" t="s">
        <v>397</v>
      </c>
    </row>
    <row r="60" spans="1:8" ht="25.5" x14ac:dyDescent="0.25">
      <c r="A60" s="40"/>
      <c r="B60" s="98"/>
      <c r="C60" s="107" t="s">
        <v>9</v>
      </c>
      <c r="D60" s="40"/>
      <c r="E60" s="41"/>
      <c r="F60" s="42"/>
      <c r="G60" s="42">
        <f>SUM(G59:G59)</f>
        <v>5083.2299999999996</v>
      </c>
      <c r="H60" s="40"/>
    </row>
    <row r="61" spans="1:8" x14ac:dyDescent="0.25">
      <c r="A61" s="92">
        <v>5</v>
      </c>
      <c r="B61" s="95" t="s">
        <v>25</v>
      </c>
      <c r="C61" s="112" t="s">
        <v>530</v>
      </c>
      <c r="D61" s="26" t="s">
        <v>7</v>
      </c>
      <c r="E61" s="34">
        <v>1</v>
      </c>
      <c r="F61" s="35">
        <v>5083.2299999999996</v>
      </c>
      <c r="G61" s="35">
        <v>5083.2299999999996</v>
      </c>
      <c r="H61" s="35" t="s">
        <v>397</v>
      </c>
    </row>
    <row r="62" spans="1:8" x14ac:dyDescent="0.25">
      <c r="A62" s="93"/>
      <c r="B62" s="96"/>
      <c r="C62" s="112" t="s">
        <v>531</v>
      </c>
      <c r="D62" s="26" t="s">
        <v>7</v>
      </c>
      <c r="E62" s="34">
        <v>20</v>
      </c>
      <c r="F62" s="35">
        <v>220.15</v>
      </c>
      <c r="G62" s="35">
        <v>4403</v>
      </c>
      <c r="H62" s="35"/>
    </row>
    <row r="63" spans="1:8" x14ac:dyDescent="0.25">
      <c r="A63" s="94"/>
      <c r="B63" s="97"/>
      <c r="C63" s="112" t="s">
        <v>532</v>
      </c>
      <c r="D63" s="26" t="s">
        <v>7</v>
      </c>
      <c r="E63" s="34">
        <v>10</v>
      </c>
      <c r="F63" s="35">
        <v>1665</v>
      </c>
      <c r="G63" s="35">
        <v>16650</v>
      </c>
      <c r="H63" s="35"/>
    </row>
    <row r="64" spans="1:8" ht="25.5" x14ac:dyDescent="0.25">
      <c r="A64" s="40"/>
      <c r="B64" s="98"/>
      <c r="C64" s="107" t="s">
        <v>9</v>
      </c>
      <c r="D64" s="40"/>
      <c r="E64" s="41"/>
      <c r="F64" s="42"/>
      <c r="G64" s="42">
        <f>SUM(G61:G63)</f>
        <v>26136.23</v>
      </c>
      <c r="H64" s="40"/>
    </row>
    <row r="65" spans="1:8" x14ac:dyDescent="0.25">
      <c r="A65" s="92">
        <v>6</v>
      </c>
      <c r="B65" s="95" t="s">
        <v>26</v>
      </c>
      <c r="C65" s="112" t="s">
        <v>486</v>
      </c>
      <c r="D65" s="26" t="s">
        <v>447</v>
      </c>
      <c r="E65" s="34">
        <v>3</v>
      </c>
      <c r="F65" s="35"/>
      <c r="G65" s="35">
        <v>12185.5</v>
      </c>
      <c r="H65" s="35" t="s">
        <v>397</v>
      </c>
    </row>
    <row r="66" spans="1:8" x14ac:dyDescent="0.25">
      <c r="A66" s="93"/>
      <c r="B66" s="96"/>
      <c r="C66" s="112" t="s">
        <v>528</v>
      </c>
      <c r="D66" s="26" t="s">
        <v>7</v>
      </c>
      <c r="E66" s="34">
        <v>10</v>
      </c>
      <c r="F66" s="35">
        <v>7984</v>
      </c>
      <c r="G66" s="35">
        <v>79840</v>
      </c>
      <c r="H66" s="35" t="s">
        <v>397</v>
      </c>
    </row>
    <row r="67" spans="1:8" x14ac:dyDescent="0.25">
      <c r="A67" s="93"/>
      <c r="B67" s="96"/>
      <c r="C67" s="112" t="s">
        <v>529</v>
      </c>
      <c r="D67" s="26" t="s">
        <v>7</v>
      </c>
      <c r="E67" s="34">
        <v>4</v>
      </c>
      <c r="F67" s="35">
        <v>7984</v>
      </c>
      <c r="G67" s="35">
        <v>31936</v>
      </c>
      <c r="H67" s="35" t="s">
        <v>397</v>
      </c>
    </row>
    <row r="68" spans="1:8" x14ac:dyDescent="0.25">
      <c r="A68" s="94"/>
      <c r="B68" s="97"/>
      <c r="C68" s="112" t="s">
        <v>530</v>
      </c>
      <c r="D68" s="26" t="s">
        <v>7</v>
      </c>
      <c r="E68" s="34">
        <v>1</v>
      </c>
      <c r="F68" s="35">
        <v>5083.2299999999996</v>
      </c>
      <c r="G68" s="35">
        <v>5083.2299999999996</v>
      </c>
      <c r="H68" s="35"/>
    </row>
    <row r="69" spans="1:8" ht="25.5" x14ac:dyDescent="0.25">
      <c r="A69" s="40"/>
      <c r="B69" s="98"/>
      <c r="C69" s="107" t="s">
        <v>9</v>
      </c>
      <c r="D69" s="40"/>
      <c r="E69" s="41"/>
      <c r="F69" s="42"/>
      <c r="G69" s="42">
        <f>SUM(G65:G68)</f>
        <v>129044.73</v>
      </c>
      <c r="H69" s="40">
        <f>SUM(H65:H67)</f>
        <v>0</v>
      </c>
    </row>
    <row r="70" spans="1:8" x14ac:dyDescent="0.25">
      <c r="A70" s="92">
        <v>7</v>
      </c>
      <c r="B70" s="95" t="s">
        <v>45</v>
      </c>
      <c r="C70" s="112" t="s">
        <v>487</v>
      </c>
      <c r="D70" s="26" t="s">
        <v>447</v>
      </c>
      <c r="E70" s="34">
        <v>1</v>
      </c>
      <c r="F70" s="35">
        <v>750</v>
      </c>
      <c r="G70" s="35">
        <v>750</v>
      </c>
      <c r="H70" s="35" t="s">
        <v>397</v>
      </c>
    </row>
    <row r="71" spans="1:8" x14ac:dyDescent="0.25">
      <c r="A71" s="93"/>
      <c r="B71" s="96"/>
      <c r="C71" s="112" t="s">
        <v>488</v>
      </c>
      <c r="D71" s="26" t="s">
        <v>447</v>
      </c>
      <c r="E71" s="34">
        <v>7</v>
      </c>
      <c r="F71" s="35">
        <v>500</v>
      </c>
      <c r="G71" s="35">
        <v>3500</v>
      </c>
      <c r="H71" s="35" t="s">
        <v>397</v>
      </c>
    </row>
    <row r="72" spans="1:8" x14ac:dyDescent="0.25">
      <c r="A72" s="93"/>
      <c r="B72" s="96"/>
      <c r="C72" s="111" t="s">
        <v>28</v>
      </c>
      <c r="D72" s="43" t="s">
        <v>19</v>
      </c>
      <c r="E72" s="37">
        <v>975</v>
      </c>
      <c r="F72" s="38">
        <v>5.6</v>
      </c>
      <c r="G72" s="38">
        <v>5460</v>
      </c>
      <c r="H72" s="35" t="s">
        <v>397</v>
      </c>
    </row>
    <row r="73" spans="1:8" x14ac:dyDescent="0.25">
      <c r="A73" s="93"/>
      <c r="B73" s="96"/>
      <c r="C73" s="171" t="s">
        <v>489</v>
      </c>
      <c r="D73" s="43" t="s">
        <v>19</v>
      </c>
      <c r="E73" s="34">
        <v>84</v>
      </c>
      <c r="F73" s="35">
        <v>65</v>
      </c>
      <c r="G73" s="35">
        <v>5460</v>
      </c>
      <c r="H73" s="35" t="s">
        <v>397</v>
      </c>
    </row>
    <row r="74" spans="1:8" x14ac:dyDescent="0.25">
      <c r="A74" s="93"/>
      <c r="B74" s="96"/>
      <c r="C74" s="171" t="s">
        <v>490</v>
      </c>
      <c r="D74" s="43" t="s">
        <v>19</v>
      </c>
      <c r="E74" s="34">
        <v>100</v>
      </c>
      <c r="F74" s="35">
        <v>16</v>
      </c>
      <c r="G74" s="35">
        <v>1600</v>
      </c>
      <c r="H74" s="35" t="s">
        <v>397</v>
      </c>
    </row>
    <row r="75" spans="1:8" x14ac:dyDescent="0.25">
      <c r="A75" s="93"/>
      <c r="B75" s="96"/>
      <c r="C75" s="171" t="s">
        <v>491</v>
      </c>
      <c r="D75" s="43" t="s">
        <v>76</v>
      </c>
      <c r="E75" s="34">
        <v>80</v>
      </c>
      <c r="F75" s="35">
        <v>30</v>
      </c>
      <c r="G75" s="35">
        <v>2400</v>
      </c>
      <c r="H75" s="35" t="s">
        <v>397</v>
      </c>
    </row>
    <row r="76" spans="1:8" x14ac:dyDescent="0.25">
      <c r="A76" s="93"/>
      <c r="B76" s="96"/>
      <c r="C76" s="171" t="s">
        <v>492</v>
      </c>
      <c r="D76" s="43" t="s">
        <v>7</v>
      </c>
      <c r="E76" s="34">
        <v>12</v>
      </c>
      <c r="F76" s="35">
        <v>55</v>
      </c>
      <c r="G76" s="35">
        <v>660</v>
      </c>
      <c r="H76" s="35" t="s">
        <v>397</v>
      </c>
    </row>
    <row r="77" spans="1:8" x14ac:dyDescent="0.25">
      <c r="A77" s="93"/>
      <c r="B77" s="96"/>
      <c r="C77" s="171" t="s">
        <v>493</v>
      </c>
      <c r="D77" s="43" t="s">
        <v>19</v>
      </c>
      <c r="E77" s="34">
        <v>50</v>
      </c>
      <c r="F77" s="35">
        <v>179</v>
      </c>
      <c r="G77" s="35">
        <v>8950</v>
      </c>
      <c r="H77" s="35" t="s">
        <v>397</v>
      </c>
    </row>
    <row r="78" spans="1:8" x14ac:dyDescent="0.25">
      <c r="A78" s="93"/>
      <c r="B78" s="96"/>
      <c r="C78" s="171" t="s">
        <v>494</v>
      </c>
      <c r="D78" s="43" t="s">
        <v>19</v>
      </c>
      <c r="E78" s="34">
        <v>100</v>
      </c>
      <c r="F78" s="35">
        <v>20</v>
      </c>
      <c r="G78" s="35">
        <v>2000</v>
      </c>
      <c r="H78" s="35" t="s">
        <v>397</v>
      </c>
    </row>
    <row r="79" spans="1:8" x14ac:dyDescent="0.25">
      <c r="A79" s="93"/>
      <c r="B79" s="96"/>
      <c r="C79" s="171" t="s">
        <v>324</v>
      </c>
      <c r="D79" s="43" t="s">
        <v>19</v>
      </c>
      <c r="E79" s="34">
        <v>11.2</v>
      </c>
      <c r="F79" s="35">
        <v>90</v>
      </c>
      <c r="G79" s="35">
        <v>1008</v>
      </c>
      <c r="H79" s="35" t="s">
        <v>397</v>
      </c>
    </row>
    <row r="80" spans="1:8" x14ac:dyDescent="0.25">
      <c r="A80" s="93"/>
      <c r="B80" s="96"/>
      <c r="C80" s="171" t="s">
        <v>77</v>
      </c>
      <c r="D80" s="43" t="s">
        <v>332</v>
      </c>
      <c r="E80" s="34">
        <v>2</v>
      </c>
      <c r="F80" s="35">
        <v>220</v>
      </c>
      <c r="G80" s="35">
        <v>440</v>
      </c>
      <c r="H80" s="35" t="s">
        <v>397</v>
      </c>
    </row>
    <row r="81" spans="1:8" x14ac:dyDescent="0.25">
      <c r="A81" s="93"/>
      <c r="B81" s="96"/>
      <c r="C81" s="171" t="s">
        <v>495</v>
      </c>
      <c r="D81" s="43" t="s">
        <v>332</v>
      </c>
      <c r="E81" s="34">
        <v>5</v>
      </c>
      <c r="F81" s="35">
        <v>207</v>
      </c>
      <c r="G81" s="35">
        <v>1035</v>
      </c>
      <c r="H81" s="35" t="s">
        <v>397</v>
      </c>
    </row>
    <row r="82" spans="1:8" x14ac:dyDescent="0.25">
      <c r="A82" s="93"/>
      <c r="B82" s="96"/>
      <c r="C82" s="171" t="s">
        <v>496</v>
      </c>
      <c r="D82" s="43" t="s">
        <v>76</v>
      </c>
      <c r="E82" s="34">
        <v>5</v>
      </c>
      <c r="F82" s="35">
        <v>85</v>
      </c>
      <c r="G82" s="35">
        <v>425</v>
      </c>
      <c r="H82" s="35" t="s">
        <v>397</v>
      </c>
    </row>
    <row r="83" spans="1:8" x14ac:dyDescent="0.25">
      <c r="A83" s="93"/>
      <c r="B83" s="96"/>
      <c r="C83" s="171" t="s">
        <v>497</v>
      </c>
      <c r="D83" s="43" t="s">
        <v>498</v>
      </c>
      <c r="E83" s="34">
        <v>1</v>
      </c>
      <c r="F83" s="35">
        <v>300</v>
      </c>
      <c r="G83" s="35">
        <v>300</v>
      </c>
      <c r="H83" s="35"/>
    </row>
    <row r="84" spans="1:8" x14ac:dyDescent="0.25">
      <c r="A84" s="93"/>
      <c r="B84" s="96"/>
      <c r="C84" s="171" t="s">
        <v>499</v>
      </c>
      <c r="D84" s="43" t="s">
        <v>7</v>
      </c>
      <c r="E84" s="34">
        <v>1</v>
      </c>
      <c r="F84" s="35">
        <v>270</v>
      </c>
      <c r="G84" s="35">
        <v>270</v>
      </c>
      <c r="H84" s="35"/>
    </row>
    <row r="85" spans="1:8" x14ac:dyDescent="0.25">
      <c r="A85" s="93"/>
      <c r="B85" s="96"/>
      <c r="C85" s="171" t="s">
        <v>500</v>
      </c>
      <c r="D85" s="43" t="s">
        <v>7</v>
      </c>
      <c r="E85" s="34">
        <v>8</v>
      </c>
      <c r="F85" s="35">
        <v>55</v>
      </c>
      <c r="G85" s="35">
        <v>440</v>
      </c>
      <c r="H85" s="35"/>
    </row>
    <row r="86" spans="1:8" x14ac:dyDescent="0.25">
      <c r="A86" s="93"/>
      <c r="B86" s="96"/>
      <c r="C86" s="171" t="s">
        <v>501</v>
      </c>
      <c r="D86" s="43" t="s">
        <v>7</v>
      </c>
      <c r="E86" s="34">
        <v>1</v>
      </c>
      <c r="F86" s="35">
        <v>140</v>
      </c>
      <c r="G86" s="35">
        <v>140</v>
      </c>
      <c r="H86" s="35"/>
    </row>
    <row r="87" spans="1:8" x14ac:dyDescent="0.25">
      <c r="A87" s="93"/>
      <c r="B87" s="96"/>
      <c r="C87" s="171" t="s">
        <v>502</v>
      </c>
      <c r="D87" s="43" t="s">
        <v>7</v>
      </c>
      <c r="E87" s="34">
        <v>15</v>
      </c>
      <c r="F87" s="35">
        <v>42</v>
      </c>
      <c r="G87" s="35">
        <v>630</v>
      </c>
      <c r="H87" s="35"/>
    </row>
    <row r="88" spans="1:8" x14ac:dyDescent="0.25">
      <c r="A88" s="93"/>
      <c r="B88" s="96"/>
      <c r="C88" s="171" t="s">
        <v>503</v>
      </c>
      <c r="D88" s="43" t="s">
        <v>7</v>
      </c>
      <c r="E88" s="34">
        <v>3</v>
      </c>
      <c r="F88" s="35">
        <v>480</v>
      </c>
      <c r="G88" s="35">
        <v>1440</v>
      </c>
      <c r="H88" s="35"/>
    </row>
    <row r="89" spans="1:8" x14ac:dyDescent="0.25">
      <c r="A89" s="93"/>
      <c r="B89" s="96"/>
      <c r="C89" s="171" t="s">
        <v>504</v>
      </c>
      <c r="D89" s="43" t="s">
        <v>7</v>
      </c>
      <c r="E89" s="34">
        <v>1</v>
      </c>
      <c r="F89" s="35">
        <v>400</v>
      </c>
      <c r="G89" s="35">
        <v>400</v>
      </c>
      <c r="H89" s="35"/>
    </row>
    <row r="90" spans="1:8" x14ac:dyDescent="0.25">
      <c r="A90" s="93"/>
      <c r="B90" s="96"/>
      <c r="C90" s="171" t="s">
        <v>505</v>
      </c>
      <c r="D90" s="43" t="s">
        <v>7</v>
      </c>
      <c r="E90" s="34">
        <v>1</v>
      </c>
      <c r="F90" s="35">
        <v>700</v>
      </c>
      <c r="G90" s="35">
        <v>700</v>
      </c>
      <c r="H90" s="35"/>
    </row>
    <row r="91" spans="1:8" x14ac:dyDescent="0.25">
      <c r="A91" s="93"/>
      <c r="B91" s="96"/>
      <c r="C91" s="171" t="s">
        <v>506</v>
      </c>
      <c r="D91" s="43" t="s">
        <v>7</v>
      </c>
      <c r="E91" s="34">
        <v>3</v>
      </c>
      <c r="F91" s="35">
        <v>600</v>
      </c>
      <c r="G91" s="35">
        <v>1800</v>
      </c>
      <c r="H91" s="35"/>
    </row>
    <row r="92" spans="1:8" x14ac:dyDescent="0.25">
      <c r="A92" s="93"/>
      <c r="B92" s="96"/>
      <c r="C92" s="171" t="s">
        <v>507</v>
      </c>
      <c r="D92" s="43" t="s">
        <v>7</v>
      </c>
      <c r="E92" s="34">
        <v>1</v>
      </c>
      <c r="F92" s="35">
        <v>800</v>
      </c>
      <c r="G92" s="35">
        <v>800</v>
      </c>
      <c r="H92" s="35"/>
    </row>
    <row r="93" spans="1:8" x14ac:dyDescent="0.25">
      <c r="A93" s="93"/>
      <c r="B93" s="96"/>
      <c r="C93" s="171" t="s">
        <v>508</v>
      </c>
      <c r="D93" s="43" t="s">
        <v>7</v>
      </c>
      <c r="E93" s="34">
        <v>4</v>
      </c>
      <c r="F93" s="35">
        <v>97</v>
      </c>
      <c r="G93" s="35">
        <v>388</v>
      </c>
      <c r="H93" s="35"/>
    </row>
    <row r="94" spans="1:8" x14ac:dyDescent="0.25">
      <c r="A94" s="93"/>
      <c r="B94" s="96"/>
      <c r="C94" s="171" t="s">
        <v>509</v>
      </c>
      <c r="D94" s="43" t="s">
        <v>7</v>
      </c>
      <c r="E94" s="34">
        <v>1</v>
      </c>
      <c r="F94" s="35">
        <v>315</v>
      </c>
      <c r="G94" s="35">
        <v>315</v>
      </c>
      <c r="H94" s="35"/>
    </row>
    <row r="95" spans="1:8" x14ac:dyDescent="0.25">
      <c r="A95" s="93"/>
      <c r="B95" s="96"/>
      <c r="C95" s="171" t="s">
        <v>510</v>
      </c>
      <c r="D95" s="43" t="s">
        <v>7</v>
      </c>
      <c r="E95" s="34">
        <v>1</v>
      </c>
      <c r="F95" s="35">
        <v>500</v>
      </c>
      <c r="G95" s="35">
        <v>500</v>
      </c>
      <c r="H95" s="35"/>
    </row>
    <row r="96" spans="1:8" x14ac:dyDescent="0.25">
      <c r="A96" s="93"/>
      <c r="B96" s="96"/>
      <c r="C96" s="171" t="s">
        <v>511</v>
      </c>
      <c r="D96" s="43" t="s">
        <v>7</v>
      </c>
      <c r="E96" s="34">
        <v>4</v>
      </c>
      <c r="F96" s="35">
        <v>150</v>
      </c>
      <c r="G96" s="35">
        <v>600</v>
      </c>
      <c r="H96" s="35"/>
    </row>
    <row r="97" spans="1:8" x14ac:dyDescent="0.25">
      <c r="A97" s="93"/>
      <c r="B97" s="96"/>
      <c r="C97" s="171" t="s">
        <v>463</v>
      </c>
      <c r="D97" s="43" t="s">
        <v>7</v>
      </c>
      <c r="E97" s="34">
        <v>2</v>
      </c>
      <c r="F97" s="35">
        <v>430</v>
      </c>
      <c r="G97" s="35">
        <v>860</v>
      </c>
      <c r="H97" s="35"/>
    </row>
    <row r="98" spans="1:8" x14ac:dyDescent="0.25">
      <c r="A98" s="93"/>
      <c r="B98" s="96"/>
      <c r="C98" s="171" t="s">
        <v>82</v>
      </c>
      <c r="D98" s="43" t="s">
        <v>7</v>
      </c>
      <c r="E98" s="34">
        <v>5</v>
      </c>
      <c r="F98" s="35">
        <v>188</v>
      </c>
      <c r="G98" s="35">
        <v>940</v>
      </c>
      <c r="H98" s="35"/>
    </row>
    <row r="99" spans="1:8" x14ac:dyDescent="0.25">
      <c r="A99" s="93"/>
      <c r="B99" s="96"/>
      <c r="C99" s="171" t="s">
        <v>512</v>
      </c>
      <c r="D99" s="43" t="s">
        <v>7</v>
      </c>
      <c r="E99" s="34">
        <v>8</v>
      </c>
      <c r="F99" s="35">
        <v>104</v>
      </c>
      <c r="G99" s="35">
        <v>832</v>
      </c>
      <c r="H99" s="35"/>
    </row>
    <row r="100" spans="1:8" x14ac:dyDescent="0.25">
      <c r="A100" s="93"/>
      <c r="B100" s="96"/>
      <c r="C100" s="171" t="s">
        <v>513</v>
      </c>
      <c r="D100" s="43" t="s">
        <v>7</v>
      </c>
      <c r="E100" s="34">
        <v>1</v>
      </c>
      <c r="F100" s="35">
        <v>240</v>
      </c>
      <c r="G100" s="35">
        <v>240</v>
      </c>
      <c r="H100" s="35"/>
    </row>
    <row r="101" spans="1:8" x14ac:dyDescent="0.25">
      <c r="A101" s="93"/>
      <c r="B101" s="96"/>
      <c r="C101" s="171" t="s">
        <v>533</v>
      </c>
      <c r="D101" s="43" t="s">
        <v>7</v>
      </c>
      <c r="E101" s="34">
        <v>1</v>
      </c>
      <c r="F101" s="35">
        <v>4000</v>
      </c>
      <c r="G101" s="35">
        <v>4000</v>
      </c>
      <c r="H101" s="35"/>
    </row>
    <row r="102" spans="1:8" x14ac:dyDescent="0.25">
      <c r="A102" s="93"/>
      <c r="B102" s="96"/>
      <c r="C102" s="112" t="s">
        <v>530</v>
      </c>
      <c r="D102" s="26" t="s">
        <v>7</v>
      </c>
      <c r="E102" s="34">
        <v>1</v>
      </c>
      <c r="F102" s="35">
        <v>5083.2299999999996</v>
      </c>
      <c r="G102" s="35">
        <v>5083.2299999999996</v>
      </c>
      <c r="H102" s="35"/>
    </row>
    <row r="103" spans="1:8" x14ac:dyDescent="0.25">
      <c r="A103" s="93"/>
      <c r="B103" s="96"/>
      <c r="C103" s="112" t="s">
        <v>531</v>
      </c>
      <c r="D103" s="26" t="s">
        <v>7</v>
      </c>
      <c r="E103" s="34">
        <v>28</v>
      </c>
      <c r="F103" s="35">
        <v>220.15</v>
      </c>
      <c r="G103" s="35">
        <v>6164.2</v>
      </c>
      <c r="H103" s="35"/>
    </row>
    <row r="104" spans="1:8" x14ac:dyDescent="0.25">
      <c r="A104" s="94"/>
      <c r="B104" s="97"/>
      <c r="C104" s="112" t="s">
        <v>532</v>
      </c>
      <c r="D104" s="26" t="s">
        <v>7</v>
      </c>
      <c r="E104" s="34">
        <v>11</v>
      </c>
      <c r="F104" s="35">
        <v>1665</v>
      </c>
      <c r="G104" s="35">
        <v>18315</v>
      </c>
      <c r="H104" s="35"/>
    </row>
    <row r="105" spans="1:8" ht="25.5" x14ac:dyDescent="0.25">
      <c r="A105" s="40"/>
      <c r="B105" s="98"/>
      <c r="C105" s="107" t="s">
        <v>9</v>
      </c>
      <c r="D105" s="40"/>
      <c r="E105" s="41"/>
      <c r="F105" s="42"/>
      <c r="G105" s="42">
        <f>SUM(G70:G104)</f>
        <v>78845.429999999993</v>
      </c>
      <c r="H105" s="40">
        <f>SUM(H70:H82)</f>
        <v>0</v>
      </c>
    </row>
    <row r="106" spans="1:8" x14ac:dyDescent="0.25">
      <c r="A106" s="82">
        <v>8</v>
      </c>
      <c r="B106" s="88" t="s">
        <v>27</v>
      </c>
      <c r="C106" s="112" t="s">
        <v>530</v>
      </c>
      <c r="D106" s="26" t="s">
        <v>7</v>
      </c>
      <c r="E106" s="34">
        <v>1</v>
      </c>
      <c r="F106" s="35">
        <v>5083.2299999999996</v>
      </c>
      <c r="G106" s="35">
        <v>5083.2299999999996</v>
      </c>
      <c r="H106" s="35" t="s">
        <v>397</v>
      </c>
    </row>
    <row r="107" spans="1:8" x14ac:dyDescent="0.25">
      <c r="A107" s="87"/>
      <c r="B107" s="89"/>
      <c r="C107" s="112" t="s">
        <v>531</v>
      </c>
      <c r="D107" s="26" t="s">
        <v>7</v>
      </c>
      <c r="E107" s="34">
        <v>70</v>
      </c>
      <c r="F107" s="35">
        <v>220.15</v>
      </c>
      <c r="G107" s="35">
        <v>15410.5</v>
      </c>
      <c r="H107" s="35" t="s">
        <v>397</v>
      </c>
    </row>
    <row r="108" spans="1:8" x14ac:dyDescent="0.25">
      <c r="A108" s="83"/>
      <c r="B108" s="90"/>
      <c r="C108" s="112" t="s">
        <v>532</v>
      </c>
      <c r="D108" s="26" t="s">
        <v>7</v>
      </c>
      <c r="E108" s="34">
        <v>32</v>
      </c>
      <c r="F108" s="35">
        <v>1665</v>
      </c>
      <c r="G108" s="35">
        <v>53280</v>
      </c>
      <c r="H108" s="35"/>
    </row>
    <row r="109" spans="1:8" ht="25.5" x14ac:dyDescent="0.25">
      <c r="A109" s="40"/>
      <c r="B109" s="98"/>
      <c r="C109" s="107" t="s">
        <v>9</v>
      </c>
      <c r="D109" s="40"/>
      <c r="E109" s="41"/>
      <c r="F109" s="42"/>
      <c r="G109" s="42">
        <f>SUM(G106:G108)</f>
        <v>73773.73</v>
      </c>
      <c r="H109" s="40">
        <f>SUM(H106:H107)</f>
        <v>0</v>
      </c>
    </row>
    <row r="110" spans="1:8" x14ac:dyDescent="0.25">
      <c r="A110" s="92">
        <v>9</v>
      </c>
      <c r="B110" s="95" t="s">
        <v>29</v>
      </c>
      <c r="C110" s="112" t="s">
        <v>514</v>
      </c>
      <c r="D110" s="26" t="s">
        <v>7</v>
      </c>
      <c r="E110" s="34">
        <v>10</v>
      </c>
      <c r="F110" s="35">
        <v>6700</v>
      </c>
      <c r="G110" s="35">
        <v>67000</v>
      </c>
      <c r="H110" s="35" t="s">
        <v>397</v>
      </c>
    </row>
    <row r="111" spans="1:8" x14ac:dyDescent="0.25">
      <c r="A111" s="93"/>
      <c r="B111" s="96"/>
      <c r="C111" s="112" t="s">
        <v>515</v>
      </c>
      <c r="D111" s="26" t="s">
        <v>7</v>
      </c>
      <c r="E111" s="34">
        <v>1</v>
      </c>
      <c r="F111" s="35">
        <v>4691.1400000000003</v>
      </c>
      <c r="G111" s="35">
        <v>4691.1400000000003</v>
      </c>
      <c r="H111" s="35"/>
    </row>
    <row r="112" spans="1:8" x14ac:dyDescent="0.25">
      <c r="A112" s="93"/>
      <c r="B112" s="96"/>
      <c r="C112" s="112" t="s">
        <v>516</v>
      </c>
      <c r="D112" s="26" t="s">
        <v>7</v>
      </c>
      <c r="E112" s="34">
        <v>1</v>
      </c>
      <c r="F112" s="35">
        <v>18287.48</v>
      </c>
      <c r="G112" s="35">
        <v>18287.48</v>
      </c>
      <c r="H112" s="35"/>
    </row>
    <row r="113" spans="1:8" x14ac:dyDescent="0.25">
      <c r="A113" s="93"/>
      <c r="B113" s="96"/>
      <c r="C113" s="112" t="s">
        <v>517</v>
      </c>
      <c r="D113" s="26" t="s">
        <v>7</v>
      </c>
      <c r="E113" s="34">
        <v>11</v>
      </c>
      <c r="F113" s="35">
        <v>86.33</v>
      </c>
      <c r="G113" s="35">
        <v>949.63</v>
      </c>
      <c r="H113" s="35"/>
    </row>
    <row r="114" spans="1:8" x14ac:dyDescent="0.25">
      <c r="A114" s="93"/>
      <c r="B114" s="96"/>
      <c r="C114" s="112" t="s">
        <v>518</v>
      </c>
      <c r="D114" s="26" t="s">
        <v>7</v>
      </c>
      <c r="E114" s="34">
        <v>1</v>
      </c>
      <c r="F114" s="35">
        <v>6301.8</v>
      </c>
      <c r="G114" s="35">
        <v>6301.8</v>
      </c>
      <c r="H114" s="35"/>
    </row>
    <row r="115" spans="1:8" x14ac:dyDescent="0.25">
      <c r="A115" s="93"/>
      <c r="B115" s="96"/>
      <c r="C115" s="112" t="s">
        <v>519</v>
      </c>
      <c r="D115" s="26" t="s">
        <v>7</v>
      </c>
      <c r="E115" s="34">
        <v>1</v>
      </c>
      <c r="F115" s="35">
        <v>573.16</v>
      </c>
      <c r="G115" s="35">
        <v>573.16</v>
      </c>
      <c r="H115" s="35"/>
    </row>
    <row r="116" spans="1:8" x14ac:dyDescent="0.25">
      <c r="A116" s="93"/>
      <c r="B116" s="96"/>
      <c r="C116" s="112" t="s">
        <v>520</v>
      </c>
      <c r="D116" s="26" t="s">
        <v>7</v>
      </c>
      <c r="E116" s="34">
        <v>1</v>
      </c>
      <c r="F116" s="35">
        <v>482.74</v>
      </c>
      <c r="G116" s="35">
        <v>482.74</v>
      </c>
      <c r="H116" s="35"/>
    </row>
    <row r="117" spans="1:8" x14ac:dyDescent="0.25">
      <c r="A117" s="93"/>
      <c r="B117" s="96"/>
      <c r="C117" s="112" t="s">
        <v>521</v>
      </c>
      <c r="D117" s="26" t="s">
        <v>7</v>
      </c>
      <c r="E117" s="34">
        <v>1</v>
      </c>
      <c r="F117" s="35">
        <v>1176.76</v>
      </c>
      <c r="G117" s="35">
        <v>1176.76</v>
      </c>
      <c r="H117" s="35"/>
    </row>
    <row r="118" spans="1:8" x14ac:dyDescent="0.25">
      <c r="A118" s="93"/>
      <c r="B118" s="96"/>
      <c r="C118" s="112" t="s">
        <v>522</v>
      </c>
      <c r="D118" s="26" t="s">
        <v>7</v>
      </c>
      <c r="E118" s="34">
        <v>5</v>
      </c>
      <c r="F118" s="35">
        <v>239.67</v>
      </c>
      <c r="G118" s="35">
        <v>1198.3499999999999</v>
      </c>
      <c r="H118" s="35"/>
    </row>
    <row r="119" spans="1:8" x14ac:dyDescent="0.25">
      <c r="A119" s="93"/>
      <c r="B119" s="96"/>
      <c r="C119" s="112" t="s">
        <v>428</v>
      </c>
      <c r="D119" s="26" t="s">
        <v>7</v>
      </c>
      <c r="E119" s="34">
        <v>10</v>
      </c>
      <c r="F119" s="35">
        <v>19999</v>
      </c>
      <c r="G119" s="35">
        <v>199990</v>
      </c>
      <c r="H119" s="35"/>
    </row>
    <row r="120" spans="1:8" x14ac:dyDescent="0.25">
      <c r="A120" s="93"/>
      <c r="B120" s="96"/>
      <c r="C120" s="112" t="s">
        <v>526</v>
      </c>
      <c r="D120" s="26" t="s">
        <v>7</v>
      </c>
      <c r="E120" s="34">
        <v>10</v>
      </c>
      <c r="F120" s="35">
        <v>999</v>
      </c>
      <c r="G120" s="35">
        <v>9990</v>
      </c>
      <c r="H120" s="35"/>
    </row>
    <row r="121" spans="1:8" x14ac:dyDescent="0.25">
      <c r="A121" s="93"/>
      <c r="B121" s="96"/>
      <c r="C121" s="112" t="s">
        <v>527</v>
      </c>
      <c r="D121" s="26" t="s">
        <v>7</v>
      </c>
      <c r="E121" s="34">
        <v>1</v>
      </c>
      <c r="F121" s="35">
        <v>1199</v>
      </c>
      <c r="G121" s="35">
        <v>1199</v>
      </c>
      <c r="H121" s="35"/>
    </row>
    <row r="122" spans="1:8" x14ac:dyDescent="0.25">
      <c r="A122" s="93"/>
      <c r="B122" s="96"/>
      <c r="C122" s="112" t="s">
        <v>523</v>
      </c>
      <c r="D122" s="26" t="s">
        <v>7</v>
      </c>
      <c r="E122" s="34">
        <v>1</v>
      </c>
      <c r="F122" s="35">
        <v>8400</v>
      </c>
      <c r="G122" s="35">
        <v>8400</v>
      </c>
      <c r="H122" s="35"/>
    </row>
    <row r="123" spans="1:8" x14ac:dyDescent="0.25">
      <c r="A123" s="93"/>
      <c r="B123" s="96"/>
      <c r="C123" s="112" t="s">
        <v>524</v>
      </c>
      <c r="D123" s="26" t="s">
        <v>7</v>
      </c>
      <c r="E123" s="34">
        <v>1</v>
      </c>
      <c r="F123" s="35">
        <v>84</v>
      </c>
      <c r="G123" s="35">
        <v>84</v>
      </c>
      <c r="H123" s="35"/>
    </row>
    <row r="124" spans="1:8" x14ac:dyDescent="0.25">
      <c r="A124" s="93"/>
      <c r="B124" s="96"/>
      <c r="C124" s="112" t="s">
        <v>525</v>
      </c>
      <c r="D124" s="26" t="s">
        <v>7</v>
      </c>
      <c r="E124" s="34">
        <v>1</v>
      </c>
      <c r="F124" s="35">
        <v>29839.26</v>
      </c>
      <c r="G124" s="35">
        <v>29839.26</v>
      </c>
      <c r="H124" s="35"/>
    </row>
    <row r="125" spans="1:8" x14ac:dyDescent="0.25">
      <c r="A125" s="93"/>
      <c r="B125" s="96"/>
      <c r="C125" s="112" t="s">
        <v>530</v>
      </c>
      <c r="D125" s="26" t="s">
        <v>7</v>
      </c>
      <c r="E125" s="34">
        <v>1</v>
      </c>
      <c r="F125" s="35">
        <v>5083.2299999999996</v>
      </c>
      <c r="G125" s="35">
        <v>5083.2299999999996</v>
      </c>
      <c r="H125" s="35">
        <v>5083.2299999999996</v>
      </c>
    </row>
    <row r="126" spans="1:8" x14ac:dyDescent="0.25">
      <c r="A126" s="94"/>
      <c r="B126" s="97"/>
      <c r="C126" s="112" t="s">
        <v>531</v>
      </c>
      <c r="D126" s="26" t="s">
        <v>7</v>
      </c>
      <c r="E126" s="34">
        <v>6</v>
      </c>
      <c r="F126" s="35">
        <v>220.15</v>
      </c>
      <c r="G126" s="35">
        <v>1320.9</v>
      </c>
      <c r="H126" s="35">
        <v>4403</v>
      </c>
    </row>
    <row r="127" spans="1:8" ht="25.5" x14ac:dyDescent="0.25">
      <c r="A127" s="40"/>
      <c r="B127" s="98"/>
      <c r="C127" s="107" t="s">
        <v>9</v>
      </c>
      <c r="D127" s="40"/>
      <c r="E127" s="41"/>
      <c r="F127" s="42"/>
      <c r="G127" s="42">
        <f>SUM(G110:G126)</f>
        <v>356567.45</v>
      </c>
      <c r="H127" s="40"/>
    </row>
    <row r="128" spans="1:8" x14ac:dyDescent="0.25">
      <c r="A128" s="92">
        <v>10</v>
      </c>
      <c r="B128" s="95" t="s">
        <v>32</v>
      </c>
      <c r="C128" s="112" t="s">
        <v>530</v>
      </c>
      <c r="D128" s="26" t="s">
        <v>7</v>
      </c>
      <c r="E128" s="34">
        <v>1</v>
      </c>
      <c r="F128" s="35">
        <v>5083.2299999999996</v>
      </c>
      <c r="G128" s="35">
        <v>5083.2299999999996</v>
      </c>
      <c r="H128" s="35" t="s">
        <v>397</v>
      </c>
    </row>
    <row r="129" spans="1:8" x14ac:dyDescent="0.25">
      <c r="A129" s="93"/>
      <c r="B129" s="96"/>
      <c r="C129" s="112" t="s">
        <v>531</v>
      </c>
      <c r="D129" s="26" t="s">
        <v>7</v>
      </c>
      <c r="E129" s="34">
        <v>25</v>
      </c>
      <c r="F129" s="35">
        <v>220.15</v>
      </c>
      <c r="G129" s="35">
        <v>5503.75</v>
      </c>
      <c r="H129" s="35" t="s">
        <v>397</v>
      </c>
    </row>
    <row r="130" spans="1:8" x14ac:dyDescent="0.25">
      <c r="A130" s="94"/>
      <c r="B130" s="97"/>
      <c r="C130" s="112" t="s">
        <v>532</v>
      </c>
      <c r="D130" s="26" t="s">
        <v>7</v>
      </c>
      <c r="E130" s="34">
        <v>10</v>
      </c>
      <c r="F130" s="35">
        <v>1665</v>
      </c>
      <c r="G130" s="35">
        <v>16650</v>
      </c>
      <c r="H130" s="35" t="s">
        <v>397</v>
      </c>
    </row>
    <row r="131" spans="1:8" ht="25.5" x14ac:dyDescent="0.25">
      <c r="A131" s="40"/>
      <c r="B131" s="98"/>
      <c r="C131" s="107" t="s">
        <v>9</v>
      </c>
      <c r="D131" s="40"/>
      <c r="E131" s="41"/>
      <c r="F131" s="42"/>
      <c r="G131" s="42">
        <f>SUM(G128:G130)</f>
        <v>27236.98</v>
      </c>
      <c r="H131" s="40"/>
    </row>
    <row r="132" spans="1:8" ht="25.5" x14ac:dyDescent="0.25">
      <c r="A132" s="43">
        <v>11</v>
      </c>
      <c r="B132" s="91" t="s">
        <v>69</v>
      </c>
      <c r="C132" s="112" t="s">
        <v>530</v>
      </c>
      <c r="D132" s="26" t="s">
        <v>7</v>
      </c>
      <c r="E132" s="34">
        <v>1</v>
      </c>
      <c r="F132" s="35">
        <v>5083.2299999999996</v>
      </c>
      <c r="G132" s="35">
        <v>5083.2299999999996</v>
      </c>
      <c r="H132" s="35" t="s">
        <v>397</v>
      </c>
    </row>
    <row r="133" spans="1:8" ht="25.5" x14ac:dyDescent="0.25">
      <c r="A133" s="40"/>
      <c r="B133" s="98"/>
      <c r="C133" s="107" t="s">
        <v>9</v>
      </c>
      <c r="D133" s="40"/>
      <c r="E133" s="41"/>
      <c r="F133" s="42"/>
      <c r="G133" s="42">
        <f>SUM(G132:G132)</f>
        <v>5083.2299999999996</v>
      </c>
      <c r="H133" s="40"/>
    </row>
    <row r="134" spans="1:8" x14ac:dyDescent="0.25">
      <c r="A134" s="82">
        <v>12</v>
      </c>
      <c r="B134" s="88" t="s">
        <v>91</v>
      </c>
      <c r="C134" s="112" t="s">
        <v>530</v>
      </c>
      <c r="D134" s="26" t="s">
        <v>7</v>
      </c>
      <c r="E134" s="34">
        <v>1</v>
      </c>
      <c r="F134" s="35">
        <v>5083.2299999999996</v>
      </c>
      <c r="G134" s="35">
        <v>5083.2299999999996</v>
      </c>
      <c r="H134" s="26" t="s">
        <v>398</v>
      </c>
    </row>
    <row r="135" spans="1:8" x14ac:dyDescent="0.25">
      <c r="A135" s="87"/>
      <c r="B135" s="89"/>
      <c r="C135" s="112" t="s">
        <v>531</v>
      </c>
      <c r="D135" s="26" t="s">
        <v>7</v>
      </c>
      <c r="E135" s="34">
        <v>19</v>
      </c>
      <c r="F135" s="35">
        <v>220.15</v>
      </c>
      <c r="G135" s="35">
        <v>4182.8500000000004</v>
      </c>
      <c r="H135" s="26"/>
    </row>
    <row r="136" spans="1:8" x14ac:dyDescent="0.25">
      <c r="A136" s="83"/>
      <c r="B136" s="90"/>
      <c r="C136" s="112" t="s">
        <v>532</v>
      </c>
      <c r="D136" s="26" t="s">
        <v>7</v>
      </c>
      <c r="E136" s="34">
        <v>12</v>
      </c>
      <c r="F136" s="35">
        <v>1665</v>
      </c>
      <c r="G136" s="35">
        <v>19980</v>
      </c>
      <c r="H136" s="26"/>
    </row>
    <row r="137" spans="1:8" ht="25.5" x14ac:dyDescent="0.25">
      <c r="A137" s="40"/>
      <c r="B137" s="98"/>
      <c r="C137" s="107" t="s">
        <v>9</v>
      </c>
      <c r="D137" s="40"/>
      <c r="E137" s="41"/>
      <c r="F137" s="42"/>
      <c r="G137" s="42">
        <f>SUM(G134:G136)</f>
        <v>29246.080000000002</v>
      </c>
      <c r="H137" s="40">
        <f>SUM(H134:H134)</f>
        <v>0</v>
      </c>
    </row>
    <row r="138" spans="1:8" ht="25.5" x14ac:dyDescent="0.25">
      <c r="A138" s="43">
        <v>13</v>
      </c>
      <c r="B138" s="91" t="s">
        <v>35</v>
      </c>
      <c r="C138" s="112" t="s">
        <v>530</v>
      </c>
      <c r="D138" s="26" t="s">
        <v>7</v>
      </c>
      <c r="E138" s="34">
        <v>1</v>
      </c>
      <c r="F138" s="35">
        <v>5083.2299999999996</v>
      </c>
      <c r="G138" s="35">
        <v>5083.2299999999996</v>
      </c>
      <c r="H138" s="35" t="s">
        <v>397</v>
      </c>
    </row>
    <row r="139" spans="1:8" ht="25.5" x14ac:dyDescent="0.25">
      <c r="A139" s="40"/>
      <c r="B139" s="98"/>
      <c r="C139" s="107" t="s">
        <v>9</v>
      </c>
      <c r="D139" s="40"/>
      <c r="E139" s="41"/>
      <c r="F139" s="42"/>
      <c r="G139" s="42">
        <f>SUM(G138:G138)</f>
        <v>5083.2299999999996</v>
      </c>
      <c r="H139" s="40"/>
    </row>
    <row r="140" spans="1:8" x14ac:dyDescent="0.25">
      <c r="A140" s="82">
        <v>14</v>
      </c>
      <c r="B140" s="88" t="s">
        <v>72</v>
      </c>
      <c r="C140" s="112" t="s">
        <v>530</v>
      </c>
      <c r="D140" s="26" t="s">
        <v>7</v>
      </c>
      <c r="E140" s="34">
        <v>1</v>
      </c>
      <c r="F140" s="35">
        <v>5083.2299999999996</v>
      </c>
      <c r="G140" s="35">
        <v>5083.2299999999996</v>
      </c>
      <c r="H140" s="35" t="s">
        <v>397</v>
      </c>
    </row>
    <row r="141" spans="1:8" x14ac:dyDescent="0.25">
      <c r="A141" s="87"/>
      <c r="B141" s="89"/>
      <c r="C141" s="112" t="s">
        <v>531</v>
      </c>
      <c r="D141" s="26" t="s">
        <v>7</v>
      </c>
      <c r="E141" s="34">
        <v>21</v>
      </c>
      <c r="F141" s="35">
        <v>220.15</v>
      </c>
      <c r="G141" s="35">
        <v>4623.1499999999996</v>
      </c>
      <c r="H141" s="35" t="s">
        <v>397</v>
      </c>
    </row>
    <row r="142" spans="1:8" x14ac:dyDescent="0.25">
      <c r="A142" s="83"/>
      <c r="B142" s="90"/>
      <c r="C142" s="112" t="s">
        <v>532</v>
      </c>
      <c r="D142" s="26" t="s">
        <v>7</v>
      </c>
      <c r="E142" s="34">
        <v>20</v>
      </c>
      <c r="F142" s="35">
        <v>1665</v>
      </c>
      <c r="G142" s="35">
        <v>33300</v>
      </c>
      <c r="H142" s="35" t="s">
        <v>397</v>
      </c>
    </row>
    <row r="143" spans="1:8" ht="25.5" x14ac:dyDescent="0.25">
      <c r="A143" s="40"/>
      <c r="B143" s="98"/>
      <c r="C143" s="107" t="s">
        <v>9</v>
      </c>
      <c r="D143" s="40"/>
      <c r="E143" s="41"/>
      <c r="F143" s="42"/>
      <c r="G143" s="42">
        <f>SUM(G140:G142)</f>
        <v>43006.38</v>
      </c>
      <c r="H143" s="40">
        <f>SUM(H140:H142)</f>
        <v>0</v>
      </c>
    </row>
    <row r="144" spans="1:8" ht="25.5" x14ac:dyDescent="0.25">
      <c r="A144" s="43">
        <v>15</v>
      </c>
      <c r="B144" s="91" t="s">
        <v>37</v>
      </c>
      <c r="C144" s="112" t="s">
        <v>530</v>
      </c>
      <c r="D144" s="26" t="s">
        <v>7</v>
      </c>
      <c r="E144" s="34">
        <v>1</v>
      </c>
      <c r="F144" s="35">
        <v>5083.2299999999996</v>
      </c>
      <c r="G144" s="35">
        <v>5083.2299999999996</v>
      </c>
      <c r="H144" s="35" t="s">
        <v>397</v>
      </c>
    </row>
    <row r="145" spans="1:8" ht="25.5" x14ac:dyDescent="0.25">
      <c r="A145" s="40"/>
      <c r="B145" s="98"/>
      <c r="C145" s="107" t="s">
        <v>9</v>
      </c>
      <c r="D145" s="40"/>
      <c r="E145" s="41"/>
      <c r="F145" s="42"/>
      <c r="G145" s="42">
        <f>SUM(G144:G144)</f>
        <v>5083.2299999999996</v>
      </c>
      <c r="H145" s="40">
        <f>SUM(H144:H144)</f>
        <v>0</v>
      </c>
    </row>
    <row r="146" spans="1:8" x14ac:dyDescent="0.25">
      <c r="A146" s="82">
        <v>16</v>
      </c>
      <c r="B146" s="88" t="s">
        <v>61</v>
      </c>
      <c r="C146" s="112" t="s">
        <v>529</v>
      </c>
      <c r="D146" s="26" t="s">
        <v>7</v>
      </c>
      <c r="E146" s="34">
        <v>14</v>
      </c>
      <c r="F146" s="35">
        <v>7984</v>
      </c>
      <c r="G146" s="35">
        <v>111776</v>
      </c>
      <c r="H146" s="35" t="s">
        <v>398</v>
      </c>
    </row>
    <row r="147" spans="1:8" x14ac:dyDescent="0.25">
      <c r="A147" s="87"/>
      <c r="B147" s="89"/>
      <c r="C147" s="112" t="s">
        <v>530</v>
      </c>
      <c r="D147" s="26" t="s">
        <v>7</v>
      </c>
      <c r="E147" s="34">
        <v>1</v>
      </c>
      <c r="F147" s="35">
        <v>5083.2299999999996</v>
      </c>
      <c r="G147" s="35">
        <v>5083.2299999999996</v>
      </c>
      <c r="H147" s="35" t="s">
        <v>398</v>
      </c>
    </row>
    <row r="148" spans="1:8" x14ac:dyDescent="0.25">
      <c r="A148" s="87"/>
      <c r="B148" s="89"/>
      <c r="C148" s="112" t="s">
        <v>531</v>
      </c>
      <c r="D148" s="26" t="s">
        <v>7</v>
      </c>
      <c r="E148" s="34">
        <v>12</v>
      </c>
      <c r="F148" s="35">
        <v>220.15</v>
      </c>
      <c r="G148" s="35">
        <v>2641.8</v>
      </c>
      <c r="H148" s="35" t="s">
        <v>398</v>
      </c>
    </row>
    <row r="149" spans="1:8" x14ac:dyDescent="0.25">
      <c r="A149" s="83"/>
      <c r="B149" s="90"/>
      <c r="C149" s="112" t="s">
        <v>532</v>
      </c>
      <c r="D149" s="26" t="s">
        <v>7</v>
      </c>
      <c r="E149" s="34">
        <v>7</v>
      </c>
      <c r="F149" s="35">
        <v>1665</v>
      </c>
      <c r="G149" s="35">
        <v>11655</v>
      </c>
      <c r="H149" s="35" t="s">
        <v>398</v>
      </c>
    </row>
    <row r="150" spans="1:8" ht="25.5" x14ac:dyDescent="0.25">
      <c r="A150" s="40"/>
      <c r="B150" s="98"/>
      <c r="C150" s="107" t="s">
        <v>9</v>
      </c>
      <c r="D150" s="40"/>
      <c r="E150" s="41"/>
      <c r="F150" s="42"/>
      <c r="G150" s="42">
        <f>SUM(G146:G149)</f>
        <v>131156.03</v>
      </c>
      <c r="H150" s="40">
        <f>SUM(H146:H149)</f>
        <v>0</v>
      </c>
    </row>
    <row r="151" spans="1:8" ht="25.5" x14ac:dyDescent="0.25">
      <c r="A151" s="43">
        <v>17</v>
      </c>
      <c r="B151" s="91" t="s">
        <v>44</v>
      </c>
      <c r="C151" s="112" t="s">
        <v>530</v>
      </c>
      <c r="D151" s="26" t="s">
        <v>7</v>
      </c>
      <c r="E151" s="34">
        <v>1</v>
      </c>
      <c r="F151" s="35">
        <v>5083.2299999999996</v>
      </c>
      <c r="G151" s="35">
        <v>5083.2299999999996</v>
      </c>
      <c r="H151" s="35" t="s">
        <v>397</v>
      </c>
    </row>
    <row r="152" spans="1:8" ht="25.5" x14ac:dyDescent="0.25">
      <c r="A152" s="40"/>
      <c r="B152" s="98"/>
      <c r="C152" s="107" t="s">
        <v>9</v>
      </c>
      <c r="D152" s="40"/>
      <c r="E152" s="41"/>
      <c r="F152" s="42"/>
      <c r="G152" s="42">
        <f>SUM(G151:G151)</f>
        <v>5083.2299999999996</v>
      </c>
      <c r="H152" s="40"/>
    </row>
    <row r="153" spans="1:8" s="44" customFormat="1" ht="25.5" x14ac:dyDescent="0.25">
      <c r="A153" s="43">
        <v>18</v>
      </c>
      <c r="B153" s="91" t="s">
        <v>141</v>
      </c>
      <c r="C153" s="112" t="s">
        <v>530</v>
      </c>
      <c r="D153" s="26" t="s">
        <v>7</v>
      </c>
      <c r="E153" s="34">
        <v>1</v>
      </c>
      <c r="F153" s="35">
        <v>5083.2299999999996</v>
      </c>
      <c r="G153" s="35">
        <v>5083.2299999999996</v>
      </c>
      <c r="H153" s="43"/>
    </row>
    <row r="154" spans="1:8" ht="25.5" x14ac:dyDescent="0.25">
      <c r="A154" s="40"/>
      <c r="B154" s="98"/>
      <c r="C154" s="107" t="s">
        <v>9</v>
      </c>
      <c r="D154" s="40"/>
      <c r="E154" s="41"/>
      <c r="F154" s="42"/>
      <c r="G154" s="42">
        <f>SUM(G153)</f>
        <v>5083.2299999999996</v>
      </c>
      <c r="H154" s="40"/>
    </row>
    <row r="155" spans="1:8" s="44" customFormat="1" x14ac:dyDescent="0.25">
      <c r="A155" s="92">
        <v>19</v>
      </c>
      <c r="B155" s="95" t="s">
        <v>40</v>
      </c>
      <c r="C155" s="112" t="s">
        <v>528</v>
      </c>
      <c r="D155" s="26" t="s">
        <v>7</v>
      </c>
      <c r="E155" s="34">
        <v>14</v>
      </c>
      <c r="F155" s="35">
        <v>7984</v>
      </c>
      <c r="G155" s="35">
        <v>111776</v>
      </c>
      <c r="H155" s="43"/>
    </row>
    <row r="156" spans="1:8" s="44" customFormat="1" x14ac:dyDescent="0.25">
      <c r="A156" s="93"/>
      <c r="B156" s="96"/>
      <c r="C156" s="112" t="s">
        <v>530</v>
      </c>
      <c r="D156" s="26" t="s">
        <v>7</v>
      </c>
      <c r="E156" s="34">
        <v>1</v>
      </c>
      <c r="F156" s="35">
        <v>5083.2299999999996</v>
      </c>
      <c r="G156" s="35">
        <v>5083.2299999999996</v>
      </c>
      <c r="H156" s="43"/>
    </row>
    <row r="157" spans="1:8" s="44" customFormat="1" x14ac:dyDescent="0.25">
      <c r="A157" s="93"/>
      <c r="B157" s="96"/>
      <c r="C157" s="112" t="s">
        <v>531</v>
      </c>
      <c r="D157" s="26" t="s">
        <v>7</v>
      </c>
      <c r="E157" s="34">
        <v>128</v>
      </c>
      <c r="F157" s="35">
        <v>220.15</v>
      </c>
      <c r="G157" s="35">
        <v>28179.200000000001</v>
      </c>
      <c r="H157" s="43"/>
    </row>
    <row r="158" spans="1:8" s="44" customFormat="1" x14ac:dyDescent="0.25">
      <c r="A158" s="94"/>
      <c r="B158" s="97"/>
      <c r="C158" s="112" t="s">
        <v>532</v>
      </c>
      <c r="D158" s="26" t="s">
        <v>7</v>
      </c>
      <c r="E158" s="34">
        <v>35</v>
      </c>
      <c r="F158" s="35">
        <v>1665</v>
      </c>
      <c r="G158" s="35">
        <v>58275</v>
      </c>
      <c r="H158" s="43"/>
    </row>
    <row r="159" spans="1:8" ht="25.5" x14ac:dyDescent="0.25">
      <c r="A159" s="40"/>
      <c r="B159" s="98"/>
      <c r="C159" s="107" t="s">
        <v>9</v>
      </c>
      <c r="D159" s="40"/>
      <c r="E159" s="41"/>
      <c r="F159" s="42"/>
      <c r="G159" s="42">
        <f>SUM(G155:G158)</f>
        <v>203313.43</v>
      </c>
      <c r="H159" s="40"/>
    </row>
    <row r="160" spans="1:8" s="44" customFormat="1" x14ac:dyDescent="0.25">
      <c r="A160" s="92">
        <v>20</v>
      </c>
      <c r="B160" s="95" t="s">
        <v>41</v>
      </c>
      <c r="C160" s="112" t="s">
        <v>530</v>
      </c>
      <c r="D160" s="26" t="s">
        <v>7</v>
      </c>
      <c r="E160" s="34">
        <v>1</v>
      </c>
      <c r="F160" s="35">
        <v>5083.2299999999996</v>
      </c>
      <c r="G160" s="35">
        <v>5083.2299999999996</v>
      </c>
      <c r="H160" s="43"/>
    </row>
    <row r="161" spans="1:8" s="44" customFormat="1" x14ac:dyDescent="0.25">
      <c r="A161" s="94"/>
      <c r="B161" s="97"/>
      <c r="C161" s="112"/>
      <c r="D161" s="26"/>
      <c r="E161" s="34"/>
      <c r="F161" s="35"/>
      <c r="G161" s="35"/>
      <c r="H161" s="43"/>
    </row>
    <row r="162" spans="1:8" ht="25.5" x14ac:dyDescent="0.25">
      <c r="A162" s="40"/>
      <c r="B162" s="98"/>
      <c r="C162" s="107" t="s">
        <v>9</v>
      </c>
      <c r="D162" s="40"/>
      <c r="E162" s="41"/>
      <c r="F162" s="42"/>
      <c r="G162" s="42">
        <f>SUM(G160:G161)</f>
        <v>5083.2299999999996</v>
      </c>
      <c r="H162" s="40"/>
    </row>
    <row r="163" spans="1:8" s="44" customFormat="1" x14ac:dyDescent="0.25">
      <c r="A163" s="92">
        <v>21</v>
      </c>
      <c r="B163" s="95" t="s">
        <v>70</v>
      </c>
      <c r="C163" s="112" t="s">
        <v>530</v>
      </c>
      <c r="D163" s="26" t="s">
        <v>7</v>
      </c>
      <c r="E163" s="34">
        <v>1</v>
      </c>
      <c r="F163" s="35">
        <v>5083.2299999999996</v>
      </c>
      <c r="G163" s="35">
        <v>5083.2299999999996</v>
      </c>
      <c r="H163" s="43"/>
    </row>
    <row r="164" spans="1:8" s="44" customFormat="1" x14ac:dyDescent="0.25">
      <c r="A164" s="93"/>
      <c r="B164" s="96"/>
      <c r="C164" s="112" t="s">
        <v>531</v>
      </c>
      <c r="D164" s="26" t="s">
        <v>7</v>
      </c>
      <c r="E164" s="34">
        <v>140</v>
      </c>
      <c r="F164" s="35">
        <v>220.15</v>
      </c>
      <c r="G164" s="35">
        <v>30821</v>
      </c>
      <c r="H164" s="43"/>
    </row>
    <row r="165" spans="1:8" s="44" customFormat="1" x14ac:dyDescent="0.25">
      <c r="A165" s="94"/>
      <c r="B165" s="97"/>
      <c r="C165" s="112" t="s">
        <v>532</v>
      </c>
      <c r="D165" s="26" t="s">
        <v>7</v>
      </c>
      <c r="E165" s="34">
        <v>22</v>
      </c>
      <c r="F165" s="35">
        <v>1665</v>
      </c>
      <c r="G165" s="35">
        <v>36630</v>
      </c>
      <c r="H165" s="43"/>
    </row>
    <row r="166" spans="1:8" ht="25.5" x14ac:dyDescent="0.25">
      <c r="A166" s="40"/>
      <c r="B166" s="98"/>
      <c r="C166" s="107" t="s">
        <v>9</v>
      </c>
      <c r="D166" s="40"/>
      <c r="E166" s="41"/>
      <c r="F166" s="42"/>
      <c r="G166" s="42">
        <f>SUM(G163:G165)</f>
        <v>72534.23</v>
      </c>
      <c r="H166" s="40"/>
    </row>
    <row r="167" spans="1:8" s="44" customFormat="1" ht="25.5" x14ac:dyDescent="0.25">
      <c r="A167" s="43">
        <v>22</v>
      </c>
      <c r="B167" s="91" t="s">
        <v>42</v>
      </c>
      <c r="C167" s="112" t="s">
        <v>530</v>
      </c>
      <c r="D167" s="26" t="s">
        <v>7</v>
      </c>
      <c r="E167" s="34">
        <v>1</v>
      </c>
      <c r="F167" s="35">
        <v>5083.2299999999996</v>
      </c>
      <c r="G167" s="35">
        <v>5083.2299999999996</v>
      </c>
      <c r="H167" s="43"/>
    </row>
    <row r="168" spans="1:8" ht="25.5" x14ac:dyDescent="0.25">
      <c r="A168" s="40"/>
      <c r="B168" s="98"/>
      <c r="C168" s="107" t="s">
        <v>9</v>
      </c>
      <c r="D168" s="40"/>
      <c r="E168" s="41"/>
      <c r="F168" s="42"/>
      <c r="G168" s="42">
        <f>SUM(G167)</f>
        <v>5083.2299999999996</v>
      </c>
      <c r="H168" s="40"/>
    </row>
    <row r="169" spans="1:8" ht="25.5" x14ac:dyDescent="0.25">
      <c r="A169" s="43">
        <v>23</v>
      </c>
      <c r="B169" s="91" t="s">
        <v>439</v>
      </c>
      <c r="C169" s="112" t="s">
        <v>530</v>
      </c>
      <c r="D169" s="26" t="s">
        <v>7</v>
      </c>
      <c r="E169" s="34">
        <v>1</v>
      </c>
      <c r="F169" s="35">
        <v>5083.2299999999996</v>
      </c>
      <c r="G169" s="35">
        <v>5083.2299999999996</v>
      </c>
      <c r="H169" s="35" t="s">
        <v>397</v>
      </c>
    </row>
    <row r="170" spans="1:8" ht="25.5" x14ac:dyDescent="0.25">
      <c r="A170" s="40"/>
      <c r="B170" s="98"/>
      <c r="C170" s="107" t="s">
        <v>9</v>
      </c>
      <c r="D170" s="40"/>
      <c r="E170" s="41"/>
      <c r="F170" s="42"/>
      <c r="G170" s="42">
        <f>SUM(G169:G169)</f>
        <v>5083.2299999999996</v>
      </c>
      <c r="H170" s="40"/>
    </row>
    <row r="171" spans="1:8" ht="25.5" x14ac:dyDescent="0.25">
      <c r="A171" s="26">
        <v>24</v>
      </c>
      <c r="B171" s="99" t="s">
        <v>43</v>
      </c>
      <c r="C171" s="112" t="s">
        <v>530</v>
      </c>
      <c r="D171" s="26" t="s">
        <v>7</v>
      </c>
      <c r="E171" s="34">
        <v>1</v>
      </c>
      <c r="F171" s="35">
        <v>5083.2299999999996</v>
      </c>
      <c r="G171" s="35">
        <v>5083.2299999999996</v>
      </c>
      <c r="H171" s="26"/>
    </row>
    <row r="172" spans="1:8" ht="25.5" x14ac:dyDescent="0.25">
      <c r="A172" s="40"/>
      <c r="B172" s="98"/>
      <c r="C172" s="107" t="s">
        <v>9</v>
      </c>
      <c r="D172" s="40"/>
      <c r="E172" s="41"/>
      <c r="F172" s="42"/>
      <c r="G172" s="42">
        <f>SUM(G171:G171)</f>
        <v>5083.2299999999996</v>
      </c>
      <c r="H172" s="40">
        <f>SUM(H171:H171)</f>
        <v>0</v>
      </c>
    </row>
    <row r="173" spans="1:8" s="44" customFormat="1" ht="15" hidden="1" customHeight="1" x14ac:dyDescent="0.25">
      <c r="A173" s="43"/>
      <c r="B173" s="43" t="s">
        <v>97</v>
      </c>
      <c r="C173" s="112" t="s">
        <v>530</v>
      </c>
      <c r="D173" s="26" t="s">
        <v>7</v>
      </c>
      <c r="E173" s="34"/>
      <c r="F173" s="35"/>
      <c r="G173" s="35"/>
      <c r="H173" s="43"/>
    </row>
    <row r="174" spans="1:8" ht="15" hidden="1" customHeight="1" x14ac:dyDescent="0.25">
      <c r="A174" s="40"/>
      <c r="B174" s="40"/>
      <c r="C174" s="107" t="s">
        <v>9</v>
      </c>
      <c r="D174" s="40"/>
      <c r="E174" s="41"/>
      <c r="F174" s="42"/>
      <c r="G174" s="42">
        <f>SUM(G173)</f>
        <v>0</v>
      </c>
      <c r="H174" s="40"/>
    </row>
    <row r="175" spans="1:8" x14ac:dyDescent="0.25">
      <c r="A175" s="181" t="s">
        <v>482</v>
      </c>
      <c r="B175" s="182"/>
      <c r="C175" s="172"/>
      <c r="D175" s="46"/>
      <c r="E175" s="47"/>
      <c r="F175" s="48"/>
      <c r="G175" s="48">
        <f>G172+G170+G152+G150+G143+G137+G131+G105+G60+G54+G52+G69+G159+G127+G174+G168+G166+G162+G154+G145+G139+G133+G109+G64+G58</f>
        <v>1266960.6899999997</v>
      </c>
      <c r="H175" s="35" t="s">
        <v>397</v>
      </c>
    </row>
    <row r="177" spans="2:2" x14ac:dyDescent="0.25">
      <c r="B177" s="36" t="s">
        <v>63</v>
      </c>
    </row>
  </sheetData>
  <mergeCells count="30">
    <mergeCell ref="A175:B175"/>
    <mergeCell ref="A155:A158"/>
    <mergeCell ref="B155:B158"/>
    <mergeCell ref="A160:A161"/>
    <mergeCell ref="B160:B161"/>
    <mergeCell ref="A163:A165"/>
    <mergeCell ref="B163:B165"/>
    <mergeCell ref="A134:A136"/>
    <mergeCell ref="B134:B136"/>
    <mergeCell ref="A140:A142"/>
    <mergeCell ref="B140:B142"/>
    <mergeCell ref="A146:A149"/>
    <mergeCell ref="B146:B149"/>
    <mergeCell ref="A106:A108"/>
    <mergeCell ref="B106:B108"/>
    <mergeCell ref="A110:A126"/>
    <mergeCell ref="B110:B126"/>
    <mergeCell ref="A128:A130"/>
    <mergeCell ref="B128:B130"/>
    <mergeCell ref="A61:A63"/>
    <mergeCell ref="B61:B63"/>
    <mergeCell ref="A65:A68"/>
    <mergeCell ref="B65:B68"/>
    <mergeCell ref="A70:A104"/>
    <mergeCell ref="B70:B104"/>
    <mergeCell ref="A1:H1"/>
    <mergeCell ref="A3:A4"/>
    <mergeCell ref="A55:A57"/>
    <mergeCell ref="B3:B4"/>
    <mergeCell ref="B55:B57"/>
  </mergeCells>
  <pageMargins left="0.7" right="0.7" top="0.75" bottom="0.75" header="0.3" footer="0.3"/>
  <pageSetup paperSize="9" scale="73" orientation="portrait" verticalDpi="0" r:id="rId1"/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4"/>
  <sheetViews>
    <sheetView view="pageBreakPreview" zoomScaleSheetLayoutView="100" workbookViewId="0">
      <pane ySplit="2" topLeftCell="A3" activePane="bottomLeft" state="frozen"/>
      <selection pane="bottomLeft" activeCell="F29" sqref="F29"/>
    </sheetView>
  </sheetViews>
  <sheetFormatPr defaultRowHeight="15" x14ac:dyDescent="0.25"/>
  <cols>
    <col min="1" max="1" width="6.28515625" style="36" customWidth="1"/>
    <col min="2" max="2" width="26.140625" style="36" customWidth="1"/>
    <col min="3" max="3" width="37.140625" style="170" customWidth="1"/>
    <col min="4" max="4" width="7" style="36" customWidth="1"/>
    <col min="5" max="5" width="9.140625" style="52" customWidth="1"/>
    <col min="6" max="6" width="14.7109375" style="39" customWidth="1"/>
    <col min="7" max="7" width="13.85546875" style="39" customWidth="1"/>
    <col min="8" max="8" width="22.85546875" style="36" hidden="1" customWidth="1"/>
    <col min="9" max="16384" width="9.140625" style="36"/>
  </cols>
  <sheetData>
    <row r="1" spans="1:8" ht="18.75" x14ac:dyDescent="0.25">
      <c r="A1" s="86" t="s">
        <v>535</v>
      </c>
      <c r="B1" s="86"/>
      <c r="C1" s="86"/>
      <c r="D1" s="86"/>
      <c r="E1" s="86"/>
      <c r="F1" s="86"/>
      <c r="G1" s="86"/>
      <c r="H1" s="86"/>
    </row>
    <row r="2" spans="1:8" ht="47.25" x14ac:dyDescent="0.25">
      <c r="A2" s="22" t="s">
        <v>0</v>
      </c>
      <c r="B2" s="23" t="s">
        <v>1</v>
      </c>
      <c r="C2" s="166" t="s">
        <v>2</v>
      </c>
      <c r="D2" s="22" t="s">
        <v>3</v>
      </c>
      <c r="E2" s="24" t="s">
        <v>4</v>
      </c>
      <c r="F2" s="25" t="s">
        <v>5</v>
      </c>
      <c r="G2" s="25" t="s">
        <v>6</v>
      </c>
      <c r="H2" s="20" t="s">
        <v>54</v>
      </c>
    </row>
    <row r="3" spans="1:8" ht="15.75" x14ac:dyDescent="0.25">
      <c r="A3" s="108">
        <v>1</v>
      </c>
      <c r="B3" s="88" t="s">
        <v>55</v>
      </c>
      <c r="C3" s="31" t="s">
        <v>441</v>
      </c>
      <c r="D3" s="27" t="s">
        <v>7</v>
      </c>
      <c r="E3" s="28">
        <v>18</v>
      </c>
      <c r="F3" s="147">
        <v>80</v>
      </c>
      <c r="G3" s="147">
        <v>1440</v>
      </c>
      <c r="H3" s="20"/>
    </row>
    <row r="4" spans="1:8" ht="15.75" x14ac:dyDescent="0.25">
      <c r="A4" s="109"/>
      <c r="B4" s="89"/>
      <c r="C4" s="31" t="s">
        <v>541</v>
      </c>
      <c r="D4" s="27" t="s">
        <v>7</v>
      </c>
      <c r="E4" s="28">
        <v>1</v>
      </c>
      <c r="F4" s="147">
        <v>4691.1400000000003</v>
      </c>
      <c r="G4" s="147">
        <v>4691.1400000000003</v>
      </c>
      <c r="H4" s="20"/>
    </row>
    <row r="5" spans="1:8" ht="15.75" x14ac:dyDescent="0.25">
      <c r="A5" s="109"/>
      <c r="B5" s="89"/>
      <c r="C5" s="31" t="s">
        <v>525</v>
      </c>
      <c r="D5" s="27" t="s">
        <v>7</v>
      </c>
      <c r="E5" s="28">
        <v>1</v>
      </c>
      <c r="F5" s="147">
        <v>29839.26</v>
      </c>
      <c r="G5" s="147">
        <v>29839.26</v>
      </c>
      <c r="H5" s="20"/>
    </row>
    <row r="6" spans="1:8" ht="15.75" x14ac:dyDescent="0.25">
      <c r="A6" s="109"/>
      <c r="B6" s="89"/>
      <c r="C6" s="31" t="s">
        <v>516</v>
      </c>
      <c r="D6" s="27" t="s">
        <v>7</v>
      </c>
      <c r="E6" s="28">
        <v>1</v>
      </c>
      <c r="F6" s="147">
        <v>18287.48</v>
      </c>
      <c r="G6" s="147">
        <v>18287.48</v>
      </c>
      <c r="H6" s="20"/>
    </row>
    <row r="7" spans="1:8" ht="15.75" x14ac:dyDescent="0.25">
      <c r="A7" s="109"/>
      <c r="B7" s="89"/>
      <c r="C7" s="31" t="s">
        <v>517</v>
      </c>
      <c r="D7" s="27" t="s">
        <v>7</v>
      </c>
      <c r="E7" s="28">
        <v>11</v>
      </c>
      <c r="F7" s="147">
        <v>86.33</v>
      </c>
      <c r="G7" s="147">
        <v>949.63</v>
      </c>
      <c r="H7" s="20"/>
    </row>
    <row r="8" spans="1:8" ht="15" customHeight="1" x14ac:dyDescent="0.25">
      <c r="A8" s="109"/>
      <c r="B8" s="89"/>
      <c r="C8" s="31" t="s">
        <v>542</v>
      </c>
      <c r="D8" s="27" t="s">
        <v>7</v>
      </c>
      <c r="E8" s="28">
        <v>1</v>
      </c>
      <c r="F8" s="147">
        <v>6301.8</v>
      </c>
      <c r="G8" s="147">
        <v>6301.8</v>
      </c>
      <c r="H8" s="20"/>
    </row>
    <row r="9" spans="1:8" ht="15" customHeight="1" x14ac:dyDescent="0.25">
      <c r="A9" s="109"/>
      <c r="B9" s="89"/>
      <c r="C9" s="112" t="s">
        <v>519</v>
      </c>
      <c r="D9" s="27" t="s">
        <v>7</v>
      </c>
      <c r="E9" s="34">
        <v>1</v>
      </c>
      <c r="F9" s="35">
        <v>573.16</v>
      </c>
      <c r="G9" s="35">
        <v>573.16</v>
      </c>
      <c r="H9" s="35" t="s">
        <v>397</v>
      </c>
    </row>
    <row r="10" spans="1:8" ht="15" customHeight="1" x14ac:dyDescent="0.25">
      <c r="A10" s="109"/>
      <c r="B10" s="89"/>
      <c r="C10" s="57" t="s">
        <v>520</v>
      </c>
      <c r="D10" s="27" t="s">
        <v>7</v>
      </c>
      <c r="E10" s="34">
        <v>1</v>
      </c>
      <c r="F10" s="35">
        <v>482.74</v>
      </c>
      <c r="G10" s="35">
        <v>482.74</v>
      </c>
      <c r="H10" s="26" t="s">
        <v>398</v>
      </c>
    </row>
    <row r="11" spans="1:8" ht="15.75" x14ac:dyDescent="0.25">
      <c r="A11" s="109"/>
      <c r="B11" s="89"/>
      <c r="C11" s="57" t="s">
        <v>521</v>
      </c>
      <c r="D11" s="27" t="s">
        <v>7</v>
      </c>
      <c r="E11" s="34">
        <v>1</v>
      </c>
      <c r="F11" s="35">
        <v>1176.76</v>
      </c>
      <c r="G11" s="35">
        <v>1176.76</v>
      </c>
      <c r="H11" s="26" t="s">
        <v>398</v>
      </c>
    </row>
    <row r="12" spans="1:8" ht="15.75" x14ac:dyDescent="0.25">
      <c r="A12" s="109"/>
      <c r="B12" s="89"/>
      <c r="C12" s="57" t="s">
        <v>522</v>
      </c>
      <c r="D12" s="27" t="s">
        <v>7</v>
      </c>
      <c r="E12" s="34">
        <v>5</v>
      </c>
      <c r="F12" s="35">
        <v>239.67</v>
      </c>
      <c r="G12" s="35">
        <v>1198.3499999999999</v>
      </c>
      <c r="H12" s="26"/>
    </row>
    <row r="13" spans="1:8" ht="15.75" x14ac:dyDescent="0.25">
      <c r="A13" s="109"/>
      <c r="B13" s="89"/>
      <c r="C13" s="57" t="s">
        <v>428</v>
      </c>
      <c r="D13" s="27" t="s">
        <v>7</v>
      </c>
      <c r="E13" s="34">
        <v>10</v>
      </c>
      <c r="F13" s="35">
        <v>19999</v>
      </c>
      <c r="G13" s="35">
        <v>199990</v>
      </c>
      <c r="H13" s="26" t="s">
        <v>398</v>
      </c>
    </row>
    <row r="14" spans="1:8" ht="15.75" x14ac:dyDescent="0.25">
      <c r="A14" s="109"/>
      <c r="B14" s="89"/>
      <c r="C14" s="57" t="s">
        <v>543</v>
      </c>
      <c r="D14" s="27" t="s">
        <v>7</v>
      </c>
      <c r="E14" s="34">
        <v>10</v>
      </c>
      <c r="F14" s="35">
        <v>999</v>
      </c>
      <c r="G14" s="35">
        <v>9990</v>
      </c>
      <c r="H14" s="26"/>
    </row>
    <row r="15" spans="1:8" ht="15.75" x14ac:dyDescent="0.25">
      <c r="A15" s="109"/>
      <c r="B15" s="89"/>
      <c r="C15" s="57" t="s">
        <v>544</v>
      </c>
      <c r="D15" s="27" t="s">
        <v>7</v>
      </c>
      <c r="E15" s="34">
        <v>1</v>
      </c>
      <c r="F15" s="35">
        <v>1199</v>
      </c>
      <c r="G15" s="35">
        <v>1199</v>
      </c>
      <c r="H15" s="26"/>
    </row>
    <row r="16" spans="1:8" ht="15.75" x14ac:dyDescent="0.25">
      <c r="A16" s="109"/>
      <c r="B16" s="89"/>
      <c r="C16" s="57" t="s">
        <v>523</v>
      </c>
      <c r="D16" s="27" t="s">
        <v>7</v>
      </c>
      <c r="E16" s="34">
        <v>1</v>
      </c>
      <c r="F16" s="35">
        <v>8400</v>
      </c>
      <c r="G16" s="35">
        <v>8400</v>
      </c>
      <c r="H16" s="26"/>
    </row>
    <row r="17" spans="1:8" ht="15.75" x14ac:dyDescent="0.25">
      <c r="A17" s="109"/>
      <c r="B17" s="89"/>
      <c r="C17" s="57" t="s">
        <v>545</v>
      </c>
      <c r="D17" s="27" t="s">
        <v>7</v>
      </c>
      <c r="E17" s="34">
        <v>1</v>
      </c>
      <c r="F17" s="35">
        <v>84</v>
      </c>
      <c r="G17" s="35">
        <v>84</v>
      </c>
      <c r="H17" s="26"/>
    </row>
    <row r="18" spans="1:8" ht="15.75" x14ac:dyDescent="0.25">
      <c r="A18" s="109"/>
      <c r="B18" s="89"/>
      <c r="C18" s="57" t="s">
        <v>546</v>
      </c>
      <c r="D18" s="27" t="s">
        <v>7</v>
      </c>
      <c r="E18" s="34">
        <v>10</v>
      </c>
      <c r="F18" s="35">
        <v>6700</v>
      </c>
      <c r="G18" s="35">
        <v>67000</v>
      </c>
      <c r="H18" s="26"/>
    </row>
    <row r="19" spans="1:8" ht="27.75" customHeight="1" x14ac:dyDescent="0.25">
      <c r="A19" s="110"/>
      <c r="B19" s="90"/>
      <c r="C19" s="57" t="s">
        <v>549</v>
      </c>
      <c r="D19" s="27" t="s">
        <v>332</v>
      </c>
      <c r="E19" s="34">
        <v>1</v>
      </c>
      <c r="F19" s="35">
        <v>340</v>
      </c>
      <c r="G19" s="35">
        <v>340</v>
      </c>
      <c r="H19" s="26"/>
    </row>
    <row r="20" spans="1:8" ht="25.5" x14ac:dyDescent="0.25">
      <c r="A20" s="40"/>
      <c r="B20" s="98"/>
      <c r="C20" s="107" t="s">
        <v>9</v>
      </c>
      <c r="D20" s="40"/>
      <c r="E20" s="41"/>
      <c r="F20" s="42"/>
      <c r="G20" s="42">
        <f>SUM(G3:G19)</f>
        <v>351943.32</v>
      </c>
      <c r="H20" s="42">
        <f>SUM(H9:H13)</f>
        <v>0</v>
      </c>
    </row>
    <row r="21" spans="1:8" ht="15" customHeight="1" x14ac:dyDescent="0.25">
      <c r="A21" s="92">
        <v>2</v>
      </c>
      <c r="B21" s="95" t="s">
        <v>64</v>
      </c>
      <c r="C21" s="31" t="s">
        <v>536</v>
      </c>
      <c r="D21" s="27" t="s">
        <v>332</v>
      </c>
      <c r="E21" s="28">
        <v>126</v>
      </c>
      <c r="F21" s="147">
        <f>G21/E21</f>
        <v>12.380952380952381</v>
      </c>
      <c r="G21" s="147">
        <v>1560</v>
      </c>
      <c r="H21" s="35" t="s">
        <v>397</v>
      </c>
    </row>
    <row r="22" spans="1:8" ht="17.25" customHeight="1" x14ac:dyDescent="0.25">
      <c r="A22" s="93"/>
      <c r="B22" s="96"/>
      <c r="C22" s="175" t="s">
        <v>537</v>
      </c>
      <c r="D22" s="26" t="s">
        <v>7</v>
      </c>
      <c r="E22" s="34">
        <v>563</v>
      </c>
      <c r="F22" s="35">
        <v>5</v>
      </c>
      <c r="G22" s="35">
        <v>2815</v>
      </c>
      <c r="H22" s="35"/>
    </row>
    <row r="23" spans="1:8" ht="15" customHeight="1" x14ac:dyDescent="0.25">
      <c r="A23" s="93"/>
      <c r="B23" s="96"/>
      <c r="C23" s="57" t="s">
        <v>170</v>
      </c>
      <c r="D23" s="26" t="s">
        <v>7</v>
      </c>
      <c r="E23" s="34">
        <v>15</v>
      </c>
      <c r="F23" s="35">
        <v>264.33</v>
      </c>
      <c r="G23" s="35">
        <v>3964.95</v>
      </c>
      <c r="H23" s="35"/>
    </row>
    <row r="24" spans="1:8" ht="15" customHeight="1" x14ac:dyDescent="0.25">
      <c r="A24" s="93"/>
      <c r="B24" s="96"/>
      <c r="C24" s="57" t="s">
        <v>540</v>
      </c>
      <c r="D24" s="26" t="s">
        <v>7</v>
      </c>
      <c r="E24" s="34">
        <v>15</v>
      </c>
      <c r="F24" s="35">
        <v>852.14</v>
      </c>
      <c r="G24" s="35">
        <v>13634.24</v>
      </c>
      <c r="H24" s="35"/>
    </row>
    <row r="25" spans="1:8" ht="15" customHeight="1" x14ac:dyDescent="0.25">
      <c r="A25" s="93"/>
      <c r="B25" s="96"/>
      <c r="C25" s="57" t="s">
        <v>550</v>
      </c>
      <c r="D25" s="26" t="s">
        <v>76</v>
      </c>
      <c r="E25" s="34">
        <v>1</v>
      </c>
      <c r="F25" s="35">
        <v>415</v>
      </c>
      <c r="G25" s="35">
        <v>415</v>
      </c>
      <c r="H25" s="35"/>
    </row>
    <row r="26" spans="1:8" ht="15" customHeight="1" x14ac:dyDescent="0.25">
      <c r="A26" s="94"/>
      <c r="B26" s="97"/>
      <c r="C26" s="57" t="s">
        <v>553</v>
      </c>
      <c r="D26" s="26" t="s">
        <v>7</v>
      </c>
      <c r="E26" s="34">
        <v>1</v>
      </c>
      <c r="F26" s="35">
        <v>1023.96</v>
      </c>
      <c r="G26" s="35">
        <v>1023.96</v>
      </c>
      <c r="H26" s="35"/>
    </row>
    <row r="27" spans="1:8" ht="16.5" customHeight="1" x14ac:dyDescent="0.25">
      <c r="A27" s="40"/>
      <c r="B27" s="98"/>
      <c r="C27" s="107" t="s">
        <v>9</v>
      </c>
      <c r="D27" s="40"/>
      <c r="E27" s="41"/>
      <c r="F27" s="42"/>
      <c r="G27" s="42">
        <f>SUM(G21:G26)</f>
        <v>23413.15</v>
      </c>
      <c r="H27" s="40"/>
    </row>
    <row r="28" spans="1:8" ht="15" customHeight="1" x14ac:dyDescent="0.25">
      <c r="A28" s="82">
        <v>3</v>
      </c>
      <c r="B28" s="88" t="s">
        <v>22</v>
      </c>
      <c r="C28" s="57" t="s">
        <v>540</v>
      </c>
      <c r="D28" s="26" t="s">
        <v>7</v>
      </c>
      <c r="E28" s="34">
        <v>32</v>
      </c>
      <c r="F28" s="35">
        <v>852.14</v>
      </c>
      <c r="G28" s="35">
        <v>27268.48</v>
      </c>
      <c r="H28" s="35" t="s">
        <v>397</v>
      </c>
    </row>
    <row r="29" spans="1:8" ht="15" customHeight="1" x14ac:dyDescent="0.25">
      <c r="A29" s="83"/>
      <c r="B29" s="90"/>
      <c r="C29" s="57" t="s">
        <v>551</v>
      </c>
      <c r="D29" s="27" t="s">
        <v>76</v>
      </c>
      <c r="E29" s="34">
        <v>1</v>
      </c>
      <c r="F29" s="35">
        <v>320</v>
      </c>
      <c r="G29" s="35">
        <v>320</v>
      </c>
      <c r="H29" s="35"/>
    </row>
    <row r="30" spans="1:8" ht="15" customHeight="1" x14ac:dyDescent="0.25">
      <c r="A30" s="40"/>
      <c r="B30" s="98"/>
      <c r="C30" s="107" t="s">
        <v>9</v>
      </c>
      <c r="D30" s="40"/>
      <c r="E30" s="41"/>
      <c r="F30" s="42"/>
      <c r="G30" s="42">
        <f>SUM(G28:G29)</f>
        <v>27588.48</v>
      </c>
      <c r="H30" s="42">
        <f>SUM(H28:H28)</f>
        <v>0</v>
      </c>
    </row>
    <row r="31" spans="1:8" ht="15.75" x14ac:dyDescent="0.25">
      <c r="A31" s="82">
        <v>4</v>
      </c>
      <c r="B31" s="88" t="s">
        <v>24</v>
      </c>
      <c r="C31" s="31" t="s">
        <v>536</v>
      </c>
      <c r="D31" s="27" t="s">
        <v>332</v>
      </c>
      <c r="E31" s="28">
        <v>126</v>
      </c>
      <c r="F31" s="147">
        <f>G31/E31</f>
        <v>9.9523809523809526</v>
      </c>
      <c r="G31" s="147">
        <v>1254</v>
      </c>
      <c r="H31" s="35" t="s">
        <v>397</v>
      </c>
    </row>
    <row r="32" spans="1:8" ht="15.75" x14ac:dyDescent="0.25">
      <c r="A32" s="87"/>
      <c r="B32" s="89"/>
      <c r="C32" s="175" t="s">
        <v>537</v>
      </c>
      <c r="D32" s="26" t="s">
        <v>13</v>
      </c>
      <c r="E32" s="34">
        <v>12</v>
      </c>
      <c r="F32" s="147">
        <f>G32/E32</f>
        <v>300</v>
      </c>
      <c r="G32" s="35">
        <v>3600</v>
      </c>
      <c r="H32" s="35" t="s">
        <v>397</v>
      </c>
    </row>
    <row r="33" spans="1:8" x14ac:dyDescent="0.25">
      <c r="A33" s="87"/>
      <c r="B33" s="89"/>
      <c r="C33" s="57" t="s">
        <v>170</v>
      </c>
      <c r="D33" s="26" t="s">
        <v>7</v>
      </c>
      <c r="E33" s="34">
        <v>15</v>
      </c>
      <c r="F33" s="35">
        <v>264.33</v>
      </c>
      <c r="G33" s="35">
        <v>3964.95</v>
      </c>
      <c r="H33" s="35"/>
    </row>
    <row r="34" spans="1:8" x14ac:dyDescent="0.25">
      <c r="A34" s="87"/>
      <c r="B34" s="89"/>
      <c r="C34" s="57" t="s">
        <v>534</v>
      </c>
      <c r="D34" s="26" t="s">
        <v>7</v>
      </c>
      <c r="E34" s="34">
        <v>1</v>
      </c>
      <c r="F34" s="35">
        <v>2284.75</v>
      </c>
      <c r="G34" s="35">
        <v>2284.75</v>
      </c>
      <c r="H34" s="35"/>
    </row>
    <row r="35" spans="1:8" x14ac:dyDescent="0.25">
      <c r="A35" s="87"/>
      <c r="B35" s="89"/>
      <c r="C35" s="57" t="s">
        <v>531</v>
      </c>
      <c r="D35" s="26" t="s">
        <v>7</v>
      </c>
      <c r="E35" s="34">
        <v>18</v>
      </c>
      <c r="F35" s="35">
        <v>220.15</v>
      </c>
      <c r="G35" s="35">
        <v>3962.7</v>
      </c>
      <c r="H35" s="35"/>
    </row>
    <row r="36" spans="1:8" x14ac:dyDescent="0.25">
      <c r="A36" s="87"/>
      <c r="B36" s="89"/>
      <c r="C36" s="57" t="s">
        <v>532</v>
      </c>
      <c r="D36" s="26" t="s">
        <v>7</v>
      </c>
      <c r="E36" s="34">
        <v>1</v>
      </c>
      <c r="F36" s="35">
        <v>1665</v>
      </c>
      <c r="G36" s="35">
        <v>1665</v>
      </c>
      <c r="H36" s="35"/>
    </row>
    <row r="37" spans="1:8" x14ac:dyDescent="0.25">
      <c r="A37" s="87"/>
      <c r="B37" s="89"/>
      <c r="C37" s="57" t="s">
        <v>538</v>
      </c>
      <c r="D37" s="26" t="s">
        <v>7</v>
      </c>
      <c r="E37" s="34">
        <v>8</v>
      </c>
      <c r="F37" s="35">
        <v>426.61</v>
      </c>
      <c r="G37" s="35">
        <v>3412.88</v>
      </c>
      <c r="H37" s="35"/>
    </row>
    <row r="38" spans="1:8" x14ac:dyDescent="0.25">
      <c r="A38" s="87"/>
      <c r="B38" s="89"/>
      <c r="C38" s="57" t="s">
        <v>540</v>
      </c>
      <c r="D38" s="26" t="s">
        <v>7</v>
      </c>
      <c r="E38" s="34">
        <v>25</v>
      </c>
      <c r="F38" s="35">
        <v>852.14</v>
      </c>
      <c r="G38" s="35">
        <v>21303.5</v>
      </c>
      <c r="H38" s="35"/>
    </row>
    <row r="39" spans="1:8" x14ac:dyDescent="0.25">
      <c r="A39" s="87"/>
      <c r="B39" s="89"/>
      <c r="C39" s="57" t="s">
        <v>550</v>
      </c>
      <c r="D39" s="26" t="s">
        <v>76</v>
      </c>
      <c r="E39" s="34">
        <v>1</v>
      </c>
      <c r="F39" s="35">
        <v>175</v>
      </c>
      <c r="G39" s="35">
        <v>175</v>
      </c>
      <c r="H39" s="35"/>
    </row>
    <row r="40" spans="1:8" x14ac:dyDescent="0.25">
      <c r="A40" s="83"/>
      <c r="B40" s="90"/>
      <c r="C40" s="57" t="s">
        <v>553</v>
      </c>
      <c r="D40" s="26" t="s">
        <v>7</v>
      </c>
      <c r="E40" s="34">
        <v>1</v>
      </c>
      <c r="F40" s="35">
        <v>1023.96</v>
      </c>
      <c r="G40" s="35">
        <v>1023.96</v>
      </c>
      <c r="H40" s="35"/>
    </row>
    <row r="41" spans="1:8" ht="25.5" x14ac:dyDescent="0.25">
      <c r="A41" s="40"/>
      <c r="B41" s="98"/>
      <c r="C41" s="107" t="s">
        <v>9</v>
      </c>
      <c r="D41" s="40"/>
      <c r="E41" s="41"/>
      <c r="F41" s="42"/>
      <c r="G41" s="42">
        <f>SUM(G31:G40)</f>
        <v>42646.74</v>
      </c>
      <c r="H41" s="40"/>
    </row>
    <row r="42" spans="1:8" ht="15.75" x14ac:dyDescent="0.25">
      <c r="A42" s="92">
        <v>5</v>
      </c>
      <c r="B42" s="95" t="s">
        <v>25</v>
      </c>
      <c r="C42" s="31" t="s">
        <v>536</v>
      </c>
      <c r="D42" s="27" t="s">
        <v>13</v>
      </c>
      <c r="E42" s="28">
        <v>8</v>
      </c>
      <c r="F42" s="147">
        <f>G42/E42</f>
        <v>103.5</v>
      </c>
      <c r="G42" s="147">
        <v>828</v>
      </c>
      <c r="H42" s="35" t="s">
        <v>397</v>
      </c>
    </row>
    <row r="43" spans="1:8" ht="15.75" x14ac:dyDescent="0.25">
      <c r="A43" s="93"/>
      <c r="B43" s="96"/>
      <c r="C43" s="175" t="s">
        <v>537</v>
      </c>
      <c r="D43" s="26" t="s">
        <v>13</v>
      </c>
      <c r="E43" s="34">
        <v>12</v>
      </c>
      <c r="F43" s="147">
        <f>G43/E43</f>
        <v>450</v>
      </c>
      <c r="G43" s="35">
        <v>5400</v>
      </c>
      <c r="H43" s="35"/>
    </row>
    <row r="44" spans="1:8" x14ac:dyDescent="0.25">
      <c r="A44" s="93"/>
      <c r="B44" s="96"/>
      <c r="C44" s="57" t="s">
        <v>170</v>
      </c>
      <c r="D44" s="26" t="s">
        <v>7</v>
      </c>
      <c r="E44" s="34">
        <v>15</v>
      </c>
      <c r="F44" s="35">
        <v>264.33</v>
      </c>
      <c r="G44" s="35">
        <v>3964.95</v>
      </c>
      <c r="H44" s="35"/>
    </row>
    <row r="45" spans="1:8" x14ac:dyDescent="0.25">
      <c r="A45" s="93"/>
      <c r="B45" s="96"/>
      <c r="C45" s="57" t="s">
        <v>540</v>
      </c>
      <c r="D45" s="26" t="s">
        <v>7</v>
      </c>
      <c r="E45" s="34">
        <v>18</v>
      </c>
      <c r="F45" s="35">
        <v>852.14</v>
      </c>
      <c r="G45" s="35">
        <v>15338.52</v>
      </c>
      <c r="H45" s="35"/>
    </row>
    <row r="46" spans="1:8" x14ac:dyDescent="0.25">
      <c r="A46" s="93"/>
      <c r="B46" s="96"/>
      <c r="C46" s="57" t="s">
        <v>550</v>
      </c>
      <c r="D46" s="26" t="s">
        <v>76</v>
      </c>
      <c r="E46" s="34">
        <v>1</v>
      </c>
      <c r="F46" s="35">
        <v>249</v>
      </c>
      <c r="G46" s="35">
        <v>249</v>
      </c>
      <c r="H46" s="35"/>
    </row>
    <row r="47" spans="1:8" x14ac:dyDescent="0.25">
      <c r="A47" s="94"/>
      <c r="B47" s="97"/>
      <c r="C47" s="57" t="s">
        <v>553</v>
      </c>
      <c r="D47" s="26" t="s">
        <v>7</v>
      </c>
      <c r="E47" s="34">
        <v>1</v>
      </c>
      <c r="F47" s="35">
        <v>1023.96</v>
      </c>
      <c r="G47" s="35">
        <v>1023.96</v>
      </c>
      <c r="H47" s="35"/>
    </row>
    <row r="48" spans="1:8" ht="25.5" x14ac:dyDescent="0.25">
      <c r="A48" s="40"/>
      <c r="B48" s="98"/>
      <c r="C48" s="107" t="s">
        <v>9</v>
      </c>
      <c r="D48" s="40"/>
      <c r="E48" s="41"/>
      <c r="F48" s="42"/>
      <c r="G48" s="42">
        <f>SUM(G42:G47)</f>
        <v>26804.43</v>
      </c>
      <c r="H48" s="40"/>
    </row>
    <row r="49" spans="1:8" ht="19.5" customHeight="1" x14ac:dyDescent="0.25">
      <c r="A49" s="92">
        <v>6</v>
      </c>
      <c r="B49" s="95" t="s">
        <v>26</v>
      </c>
      <c r="C49" s="31" t="s">
        <v>536</v>
      </c>
      <c r="D49" s="27" t="s">
        <v>13</v>
      </c>
      <c r="E49" s="28">
        <v>8</v>
      </c>
      <c r="F49" s="147">
        <f>G49/E49</f>
        <v>174</v>
      </c>
      <c r="G49" s="147">
        <v>1392</v>
      </c>
      <c r="H49" s="35" t="s">
        <v>397</v>
      </c>
    </row>
    <row r="50" spans="1:8" ht="15.75" x14ac:dyDescent="0.25">
      <c r="A50" s="93"/>
      <c r="B50" s="96"/>
      <c r="C50" s="175" t="s">
        <v>537</v>
      </c>
      <c r="D50" s="26" t="s">
        <v>13</v>
      </c>
      <c r="E50" s="34">
        <v>14</v>
      </c>
      <c r="F50" s="147">
        <f>G50/E50</f>
        <v>225.35714285714286</v>
      </c>
      <c r="G50" s="35">
        <v>3155</v>
      </c>
      <c r="H50" s="35" t="s">
        <v>397</v>
      </c>
    </row>
    <row r="51" spans="1:8" x14ac:dyDescent="0.25">
      <c r="A51" s="93"/>
      <c r="B51" s="96"/>
      <c r="C51" s="57" t="s">
        <v>170</v>
      </c>
      <c r="D51" s="26" t="s">
        <v>7</v>
      </c>
      <c r="E51" s="34">
        <v>15</v>
      </c>
      <c r="F51" s="35">
        <v>264.33</v>
      </c>
      <c r="G51" s="35">
        <v>3964.95</v>
      </c>
      <c r="H51" s="35"/>
    </row>
    <row r="52" spans="1:8" x14ac:dyDescent="0.25">
      <c r="A52" s="93"/>
      <c r="B52" s="96"/>
      <c r="C52" s="57" t="s">
        <v>550</v>
      </c>
      <c r="D52" s="26" t="s">
        <v>7</v>
      </c>
      <c r="E52" s="34">
        <v>1</v>
      </c>
      <c r="F52" s="35">
        <v>230</v>
      </c>
      <c r="G52" s="35">
        <v>230</v>
      </c>
      <c r="H52" s="35"/>
    </row>
    <row r="53" spans="1:8" x14ac:dyDescent="0.25">
      <c r="A53" s="94"/>
      <c r="B53" s="97"/>
      <c r="C53" s="57" t="s">
        <v>553</v>
      </c>
      <c r="D53" s="26" t="s">
        <v>7</v>
      </c>
      <c r="E53" s="34">
        <v>1</v>
      </c>
      <c r="F53" s="35">
        <v>1023.96</v>
      </c>
      <c r="G53" s="35">
        <v>1023.96</v>
      </c>
      <c r="H53" s="35"/>
    </row>
    <row r="54" spans="1:8" ht="25.5" x14ac:dyDescent="0.25">
      <c r="A54" s="40"/>
      <c r="B54" s="98"/>
      <c r="C54" s="107" t="s">
        <v>9</v>
      </c>
      <c r="D54" s="40"/>
      <c r="E54" s="41"/>
      <c r="F54" s="42"/>
      <c r="G54" s="42">
        <f>SUM(G49:H53)</f>
        <v>9765.91</v>
      </c>
      <c r="H54" s="40">
        <f>SUM(H49:H50)</f>
        <v>0</v>
      </c>
    </row>
    <row r="55" spans="1:8" x14ac:dyDescent="0.25">
      <c r="A55" s="92">
        <v>7</v>
      </c>
      <c r="B55" s="95" t="s">
        <v>45</v>
      </c>
      <c r="C55" s="57" t="s">
        <v>540</v>
      </c>
      <c r="D55" s="26" t="s">
        <v>7</v>
      </c>
      <c r="E55" s="34">
        <v>64</v>
      </c>
      <c r="F55" s="35">
        <v>852.14</v>
      </c>
      <c r="G55" s="35">
        <v>54536.959999999999</v>
      </c>
      <c r="H55" s="35" t="s">
        <v>397</v>
      </c>
    </row>
    <row r="56" spans="1:8" x14ac:dyDescent="0.25">
      <c r="A56" s="94"/>
      <c r="B56" s="97"/>
      <c r="C56" s="175" t="s">
        <v>547</v>
      </c>
      <c r="D56" s="26" t="s">
        <v>7</v>
      </c>
      <c r="E56" s="34"/>
      <c r="F56" s="35"/>
      <c r="G56" s="35">
        <v>20003</v>
      </c>
      <c r="H56" s="35"/>
    </row>
    <row r="57" spans="1:8" ht="25.5" x14ac:dyDescent="0.25">
      <c r="A57" s="40"/>
      <c r="B57" s="98"/>
      <c r="C57" s="107" t="s">
        <v>9</v>
      </c>
      <c r="D57" s="40"/>
      <c r="E57" s="41"/>
      <c r="F57" s="42"/>
      <c r="G57" s="42">
        <f>SUM(G55:G56)</f>
        <v>74539.959999999992</v>
      </c>
      <c r="H57" s="40">
        <f>SUM(H55:H56)</f>
        <v>0</v>
      </c>
    </row>
    <row r="58" spans="1:8" x14ac:dyDescent="0.25">
      <c r="A58" s="82">
        <v>8</v>
      </c>
      <c r="B58" s="88" t="s">
        <v>27</v>
      </c>
      <c r="C58" s="57" t="s">
        <v>540</v>
      </c>
      <c r="D58" s="26" t="s">
        <v>7</v>
      </c>
      <c r="E58" s="34">
        <v>57</v>
      </c>
      <c r="F58" s="35">
        <v>852.14</v>
      </c>
      <c r="G58" s="35">
        <v>48571.98</v>
      </c>
      <c r="H58" s="35" t="s">
        <v>397</v>
      </c>
    </row>
    <row r="59" spans="1:8" x14ac:dyDescent="0.25">
      <c r="A59" s="83"/>
      <c r="B59" s="90"/>
      <c r="C59" s="57" t="s">
        <v>550</v>
      </c>
      <c r="D59" s="26" t="s">
        <v>76</v>
      </c>
      <c r="E59" s="34">
        <v>2</v>
      </c>
      <c r="F59" s="35">
        <v>195</v>
      </c>
      <c r="G59" s="35">
        <v>390</v>
      </c>
      <c r="H59" s="35"/>
    </row>
    <row r="60" spans="1:8" ht="25.5" x14ac:dyDescent="0.25">
      <c r="A60" s="40"/>
      <c r="B60" s="98"/>
      <c r="C60" s="107" t="s">
        <v>9</v>
      </c>
      <c r="D60" s="40"/>
      <c r="E60" s="41"/>
      <c r="F60" s="42"/>
      <c r="G60" s="42">
        <f>SUM(G58:H59)</f>
        <v>48961.98</v>
      </c>
      <c r="H60" s="40">
        <f>SUM(H58:H58)</f>
        <v>0</v>
      </c>
    </row>
    <row r="61" spans="1:8" ht="17.25" customHeight="1" x14ac:dyDescent="0.25">
      <c r="A61" s="92">
        <v>9</v>
      </c>
      <c r="B61" s="95" t="s">
        <v>29</v>
      </c>
      <c r="C61" s="31" t="s">
        <v>536</v>
      </c>
      <c r="D61" s="27" t="s">
        <v>13</v>
      </c>
      <c r="E61" s="28">
        <v>8</v>
      </c>
      <c r="F61" s="147">
        <f>G61/E61</f>
        <v>125</v>
      </c>
      <c r="G61" s="147">
        <v>1000</v>
      </c>
      <c r="H61" s="35" t="s">
        <v>397</v>
      </c>
    </row>
    <row r="62" spans="1:8" ht="15.75" x14ac:dyDescent="0.25">
      <c r="A62" s="93"/>
      <c r="B62" s="96"/>
      <c r="C62" s="175" t="s">
        <v>537</v>
      </c>
      <c r="D62" s="26" t="s">
        <v>13</v>
      </c>
      <c r="E62" s="34">
        <v>15</v>
      </c>
      <c r="F62" s="147">
        <f>G62/E62</f>
        <v>300</v>
      </c>
      <c r="G62" s="35">
        <v>4500</v>
      </c>
      <c r="H62" s="35" t="s">
        <v>397</v>
      </c>
    </row>
    <row r="63" spans="1:8" ht="15" customHeight="1" x14ac:dyDescent="0.25">
      <c r="A63" s="93"/>
      <c r="B63" s="96"/>
      <c r="C63" s="57" t="s">
        <v>170</v>
      </c>
      <c r="D63" s="26" t="s">
        <v>7</v>
      </c>
      <c r="E63" s="34">
        <v>15</v>
      </c>
      <c r="F63" s="35">
        <v>264.33</v>
      </c>
      <c r="G63" s="35">
        <v>3964.95</v>
      </c>
      <c r="H63" s="35"/>
    </row>
    <row r="64" spans="1:8" ht="15" customHeight="1" x14ac:dyDescent="0.25">
      <c r="A64" s="93"/>
      <c r="B64" s="96"/>
      <c r="C64" s="57" t="s">
        <v>540</v>
      </c>
      <c r="D64" s="26" t="s">
        <v>7</v>
      </c>
      <c r="E64" s="34">
        <v>17</v>
      </c>
      <c r="F64" s="35">
        <v>852.14</v>
      </c>
      <c r="G64" s="35">
        <v>14486.38</v>
      </c>
      <c r="H64" s="35"/>
    </row>
    <row r="65" spans="1:8" ht="15" customHeight="1" x14ac:dyDescent="0.25">
      <c r="A65" s="93"/>
      <c r="B65" s="96"/>
      <c r="C65" s="57" t="s">
        <v>550</v>
      </c>
      <c r="D65" s="26" t="s">
        <v>76</v>
      </c>
      <c r="E65" s="34">
        <v>2</v>
      </c>
      <c r="F65" s="35">
        <v>120</v>
      </c>
      <c r="G65" s="35">
        <v>240</v>
      </c>
      <c r="H65" s="35"/>
    </row>
    <row r="66" spans="1:8" ht="15" customHeight="1" x14ac:dyDescent="0.25">
      <c r="A66" s="94"/>
      <c r="B66" s="97"/>
      <c r="C66" s="57" t="s">
        <v>553</v>
      </c>
      <c r="D66" s="26" t="s">
        <v>7</v>
      </c>
      <c r="E66" s="34">
        <v>1</v>
      </c>
      <c r="F66" s="35">
        <v>1023.96</v>
      </c>
      <c r="G66" s="35">
        <v>1023.96</v>
      </c>
      <c r="H66" s="35"/>
    </row>
    <row r="67" spans="1:8" ht="15" customHeight="1" x14ac:dyDescent="0.25">
      <c r="A67" s="40"/>
      <c r="B67" s="98"/>
      <c r="C67" s="107" t="s">
        <v>9</v>
      </c>
      <c r="D67" s="40"/>
      <c r="E67" s="41"/>
      <c r="F67" s="42"/>
      <c r="G67" s="42">
        <f>SUM(G61:G66)</f>
        <v>25215.29</v>
      </c>
      <c r="H67" s="40"/>
    </row>
    <row r="68" spans="1:8" ht="15" customHeight="1" x14ac:dyDescent="0.25">
      <c r="A68" s="92">
        <v>10</v>
      </c>
      <c r="B68" s="95" t="s">
        <v>32</v>
      </c>
      <c r="C68" s="31" t="s">
        <v>536</v>
      </c>
      <c r="D68" s="27" t="s">
        <v>13</v>
      </c>
      <c r="E68" s="28">
        <v>8</v>
      </c>
      <c r="F68" s="147">
        <f>G68/E68</f>
        <v>147</v>
      </c>
      <c r="G68" s="147">
        <v>1176</v>
      </c>
      <c r="H68" s="35" t="s">
        <v>397</v>
      </c>
    </row>
    <row r="69" spans="1:8" ht="15" customHeight="1" x14ac:dyDescent="0.25">
      <c r="A69" s="93"/>
      <c r="B69" s="96"/>
      <c r="C69" s="175" t="s">
        <v>537</v>
      </c>
      <c r="D69" s="26" t="s">
        <v>13</v>
      </c>
      <c r="E69" s="34">
        <v>12</v>
      </c>
      <c r="F69" s="147">
        <f>G69/E69</f>
        <v>300</v>
      </c>
      <c r="G69" s="35">
        <v>3600</v>
      </c>
      <c r="H69" s="35"/>
    </row>
    <row r="70" spans="1:8" ht="15" customHeight="1" x14ac:dyDescent="0.25">
      <c r="A70" s="93"/>
      <c r="B70" s="96"/>
      <c r="C70" s="57" t="s">
        <v>170</v>
      </c>
      <c r="D70" s="26" t="s">
        <v>7</v>
      </c>
      <c r="E70" s="34">
        <v>15</v>
      </c>
      <c r="F70" s="35">
        <v>264.33</v>
      </c>
      <c r="G70" s="35">
        <v>3964.95</v>
      </c>
      <c r="H70" s="35"/>
    </row>
    <row r="71" spans="1:8" ht="15" customHeight="1" x14ac:dyDescent="0.25">
      <c r="A71" s="93"/>
      <c r="B71" s="96"/>
      <c r="C71" s="57" t="s">
        <v>540</v>
      </c>
      <c r="D71" s="26" t="s">
        <v>7</v>
      </c>
      <c r="E71" s="34">
        <v>17</v>
      </c>
      <c r="F71" s="35">
        <v>852.14</v>
      </c>
      <c r="G71" s="35">
        <v>14486.38</v>
      </c>
      <c r="H71" s="35"/>
    </row>
    <row r="72" spans="1:8" ht="15" customHeight="1" x14ac:dyDescent="0.25">
      <c r="A72" s="93"/>
      <c r="B72" s="96"/>
      <c r="C72" s="57" t="s">
        <v>550</v>
      </c>
      <c r="D72" s="27" t="s">
        <v>76</v>
      </c>
      <c r="E72" s="28">
        <v>2</v>
      </c>
      <c r="F72" s="147">
        <v>230</v>
      </c>
      <c r="G72" s="147">
        <v>460</v>
      </c>
      <c r="H72" s="35"/>
    </row>
    <row r="73" spans="1:8" ht="15" customHeight="1" x14ac:dyDescent="0.25">
      <c r="A73" s="94"/>
      <c r="B73" s="97"/>
      <c r="C73" s="57" t="s">
        <v>553</v>
      </c>
      <c r="D73" s="26" t="s">
        <v>7</v>
      </c>
      <c r="E73" s="34">
        <v>1</v>
      </c>
      <c r="F73" s="35">
        <v>1023.96</v>
      </c>
      <c r="G73" s="35">
        <v>1023.96</v>
      </c>
      <c r="H73" s="35"/>
    </row>
    <row r="74" spans="1:8" ht="15" hidden="1" customHeight="1" x14ac:dyDescent="0.25">
      <c r="A74" s="43"/>
      <c r="B74" s="91"/>
      <c r="C74" s="57"/>
      <c r="D74" s="26"/>
      <c r="E74" s="34"/>
      <c r="F74" s="35"/>
      <c r="G74" s="35"/>
      <c r="H74" s="35" t="s">
        <v>397</v>
      </c>
    </row>
    <row r="75" spans="1:8" ht="15" customHeight="1" x14ac:dyDescent="0.25">
      <c r="A75" s="40"/>
      <c r="B75" s="98"/>
      <c r="C75" s="107" t="s">
        <v>9</v>
      </c>
      <c r="D75" s="40"/>
      <c r="E75" s="41"/>
      <c r="F75" s="42"/>
      <c r="G75" s="42">
        <f>SUM(G68:G74)</f>
        <v>24711.29</v>
      </c>
      <c r="H75" s="40"/>
    </row>
    <row r="76" spans="1:8" ht="15" customHeight="1" x14ac:dyDescent="0.25">
      <c r="A76" s="92">
        <v>11</v>
      </c>
      <c r="B76" s="95" t="s">
        <v>69</v>
      </c>
      <c r="C76" s="31" t="s">
        <v>536</v>
      </c>
      <c r="D76" s="27" t="s">
        <v>13</v>
      </c>
      <c r="E76" s="28">
        <v>8</v>
      </c>
      <c r="F76" s="147">
        <f>G76/E76</f>
        <v>164.7</v>
      </c>
      <c r="G76" s="147">
        <v>1317.6</v>
      </c>
      <c r="H76" s="35" t="s">
        <v>397</v>
      </c>
    </row>
    <row r="77" spans="1:8" ht="12.75" customHeight="1" x14ac:dyDescent="0.25">
      <c r="A77" s="93"/>
      <c r="B77" s="96"/>
      <c r="C77" s="175" t="s">
        <v>537</v>
      </c>
      <c r="D77" s="26" t="s">
        <v>13</v>
      </c>
      <c r="E77" s="34">
        <v>13</v>
      </c>
      <c r="F77" s="147">
        <f>G77/E77</f>
        <v>316</v>
      </c>
      <c r="G77" s="35">
        <v>4108</v>
      </c>
      <c r="H77" s="35"/>
    </row>
    <row r="78" spans="1:8" x14ac:dyDescent="0.25">
      <c r="A78" s="93"/>
      <c r="B78" s="96"/>
      <c r="C78" s="57" t="s">
        <v>170</v>
      </c>
      <c r="D78" s="26" t="s">
        <v>7</v>
      </c>
      <c r="E78" s="34">
        <v>15</v>
      </c>
      <c r="F78" s="35">
        <v>264.33</v>
      </c>
      <c r="G78" s="35">
        <v>3964.95</v>
      </c>
      <c r="H78" s="35"/>
    </row>
    <row r="79" spans="1:8" x14ac:dyDescent="0.25">
      <c r="A79" s="93"/>
      <c r="B79" s="96"/>
      <c r="C79" s="57" t="s">
        <v>540</v>
      </c>
      <c r="D79" s="26" t="s">
        <v>7</v>
      </c>
      <c r="E79" s="34">
        <v>35</v>
      </c>
      <c r="F79" s="35">
        <v>852.14</v>
      </c>
      <c r="G79" s="35">
        <v>29824.9</v>
      </c>
      <c r="H79" s="35"/>
    </row>
    <row r="80" spans="1:8" x14ac:dyDescent="0.25">
      <c r="A80" s="93"/>
      <c r="B80" s="96"/>
      <c r="C80" s="57" t="s">
        <v>550</v>
      </c>
      <c r="D80" s="26" t="s">
        <v>76</v>
      </c>
      <c r="E80" s="34">
        <v>4</v>
      </c>
      <c r="F80" s="35">
        <v>198</v>
      </c>
      <c r="G80" s="35">
        <v>792</v>
      </c>
      <c r="H80" s="35" t="s">
        <v>397</v>
      </c>
    </row>
    <row r="81" spans="1:8" x14ac:dyDescent="0.25">
      <c r="A81" s="94"/>
      <c r="B81" s="97"/>
      <c r="C81" s="57" t="s">
        <v>553</v>
      </c>
      <c r="D81" s="26" t="s">
        <v>7</v>
      </c>
      <c r="E81" s="34">
        <v>1</v>
      </c>
      <c r="F81" s="35">
        <v>1023.96</v>
      </c>
      <c r="G81" s="35">
        <v>1023.96</v>
      </c>
      <c r="H81" s="35" t="s">
        <v>397</v>
      </c>
    </row>
    <row r="82" spans="1:8" ht="25.5" x14ac:dyDescent="0.25">
      <c r="A82" s="40"/>
      <c r="B82" s="98"/>
      <c r="C82" s="107" t="s">
        <v>9</v>
      </c>
      <c r="D82" s="40"/>
      <c r="E82" s="41"/>
      <c r="F82" s="42"/>
      <c r="G82" s="42">
        <f>SUM(G76:G81)</f>
        <v>41031.409999999996</v>
      </c>
      <c r="H82" s="40"/>
    </row>
    <row r="83" spans="1:8" x14ac:dyDescent="0.25">
      <c r="A83" s="82">
        <v>12</v>
      </c>
      <c r="B83" s="88" t="s">
        <v>91</v>
      </c>
      <c r="C83" s="57" t="s">
        <v>540</v>
      </c>
      <c r="D83" s="26" t="s">
        <v>7</v>
      </c>
      <c r="E83" s="34">
        <v>34</v>
      </c>
      <c r="F83" s="35">
        <v>852.14</v>
      </c>
      <c r="G83" s="35">
        <v>28972.76</v>
      </c>
      <c r="H83" s="26" t="s">
        <v>398</v>
      </c>
    </row>
    <row r="84" spans="1:8" x14ac:dyDescent="0.25">
      <c r="A84" s="83"/>
      <c r="B84" s="90"/>
      <c r="C84" s="57" t="s">
        <v>550</v>
      </c>
      <c r="D84" s="26" t="s">
        <v>76</v>
      </c>
      <c r="E84" s="34">
        <v>1</v>
      </c>
      <c r="F84" s="35">
        <v>210</v>
      </c>
      <c r="G84" s="35">
        <v>210</v>
      </c>
      <c r="H84" s="26"/>
    </row>
    <row r="85" spans="1:8" ht="25.5" x14ac:dyDescent="0.25">
      <c r="A85" s="40"/>
      <c r="B85" s="98"/>
      <c r="C85" s="107" t="s">
        <v>9</v>
      </c>
      <c r="D85" s="40"/>
      <c r="E85" s="41"/>
      <c r="F85" s="42"/>
      <c r="G85" s="42">
        <f>SUM(G83:G84)</f>
        <v>29182.76</v>
      </c>
      <c r="H85" s="40">
        <f>SUM(H83:H83)</f>
        <v>0</v>
      </c>
    </row>
    <row r="86" spans="1:8" ht="15" customHeight="1" x14ac:dyDescent="0.25">
      <c r="A86" s="92">
        <v>13</v>
      </c>
      <c r="B86" s="95" t="s">
        <v>35</v>
      </c>
      <c r="C86" s="31" t="s">
        <v>536</v>
      </c>
      <c r="D86" s="27" t="s">
        <v>13</v>
      </c>
      <c r="E86" s="28">
        <v>7</v>
      </c>
      <c r="F86" s="147">
        <f>G86/E86</f>
        <v>137.14285714285714</v>
      </c>
      <c r="G86" s="147">
        <v>960</v>
      </c>
      <c r="H86" s="35" t="s">
        <v>397</v>
      </c>
    </row>
    <row r="87" spans="1:8" ht="16.5" customHeight="1" x14ac:dyDescent="0.25">
      <c r="A87" s="93"/>
      <c r="B87" s="96"/>
      <c r="C87" s="175" t="s">
        <v>537</v>
      </c>
      <c r="D87" s="26" t="s">
        <v>13</v>
      </c>
      <c r="E87" s="34">
        <v>14</v>
      </c>
      <c r="F87" s="147">
        <f>G87/E87</f>
        <v>201.07142857142858</v>
      </c>
      <c r="G87" s="35">
        <v>2815</v>
      </c>
      <c r="H87" s="35" t="s">
        <v>397</v>
      </c>
    </row>
    <row r="88" spans="1:8" ht="16.5" customHeight="1" x14ac:dyDescent="0.25">
      <c r="A88" s="93"/>
      <c r="B88" s="96"/>
      <c r="C88" s="57" t="s">
        <v>170</v>
      </c>
      <c r="D88" s="26" t="s">
        <v>7</v>
      </c>
      <c r="E88" s="34">
        <v>30</v>
      </c>
      <c r="F88" s="35">
        <v>264.33</v>
      </c>
      <c r="G88" s="35">
        <v>7929.9</v>
      </c>
      <c r="H88" s="35"/>
    </row>
    <row r="89" spans="1:8" ht="16.5" customHeight="1" x14ac:dyDescent="0.25">
      <c r="A89" s="93"/>
      <c r="B89" s="96"/>
      <c r="C89" s="57" t="s">
        <v>534</v>
      </c>
      <c r="D89" s="26" t="s">
        <v>7</v>
      </c>
      <c r="E89" s="34">
        <v>2</v>
      </c>
      <c r="F89" s="35">
        <v>2284.75</v>
      </c>
      <c r="G89" s="35">
        <v>4569.5</v>
      </c>
      <c r="H89" s="35"/>
    </row>
    <row r="90" spans="1:8" ht="16.5" customHeight="1" x14ac:dyDescent="0.25">
      <c r="A90" s="93"/>
      <c r="B90" s="96"/>
      <c r="C90" s="57" t="s">
        <v>531</v>
      </c>
      <c r="D90" s="26" t="s">
        <v>7</v>
      </c>
      <c r="E90" s="34">
        <v>30</v>
      </c>
      <c r="F90" s="35">
        <v>220.15</v>
      </c>
      <c r="G90" s="35">
        <v>6604.5</v>
      </c>
      <c r="H90" s="35"/>
    </row>
    <row r="91" spans="1:8" x14ac:dyDescent="0.25">
      <c r="A91" s="93"/>
      <c r="B91" s="96"/>
      <c r="C91" s="57" t="s">
        <v>538</v>
      </c>
      <c r="D91" s="26" t="s">
        <v>7</v>
      </c>
      <c r="E91" s="34">
        <v>32</v>
      </c>
      <c r="F91" s="35">
        <v>426.61</v>
      </c>
      <c r="G91" s="35">
        <v>13651.52</v>
      </c>
      <c r="H91" s="35"/>
    </row>
    <row r="92" spans="1:8" x14ac:dyDescent="0.25">
      <c r="A92" s="93"/>
      <c r="B92" s="96"/>
      <c r="C92" s="57" t="s">
        <v>540</v>
      </c>
      <c r="D92" s="26" t="s">
        <v>7</v>
      </c>
      <c r="E92" s="34">
        <v>50</v>
      </c>
      <c r="F92" s="35">
        <v>852.14</v>
      </c>
      <c r="G92" s="35">
        <v>42607</v>
      </c>
      <c r="H92" s="35"/>
    </row>
    <row r="93" spans="1:8" x14ac:dyDescent="0.25">
      <c r="A93" s="93"/>
      <c r="B93" s="96"/>
      <c r="C93" s="57" t="s">
        <v>550</v>
      </c>
      <c r="D93" s="26" t="s">
        <v>76</v>
      </c>
      <c r="E93" s="34">
        <v>2</v>
      </c>
      <c r="F93" s="35">
        <v>210</v>
      </c>
      <c r="G93" s="35">
        <v>420</v>
      </c>
      <c r="H93" s="35"/>
    </row>
    <row r="94" spans="1:8" x14ac:dyDescent="0.25">
      <c r="A94" s="94"/>
      <c r="B94" s="97"/>
      <c r="C94" s="57" t="s">
        <v>553</v>
      </c>
      <c r="D94" s="26" t="s">
        <v>7</v>
      </c>
      <c r="E94" s="34">
        <v>1</v>
      </c>
      <c r="F94" s="35">
        <v>1023.96</v>
      </c>
      <c r="G94" s="35">
        <v>1023.96</v>
      </c>
      <c r="H94" s="35"/>
    </row>
    <row r="95" spans="1:8" ht="25.5" x14ac:dyDescent="0.25">
      <c r="A95" s="40"/>
      <c r="B95" s="98"/>
      <c r="C95" s="107" t="s">
        <v>9</v>
      </c>
      <c r="D95" s="40"/>
      <c r="E95" s="41"/>
      <c r="F95" s="42"/>
      <c r="G95" s="42">
        <f>SUM(G86:H94)</f>
        <v>80581.38</v>
      </c>
      <c r="H95" s="40"/>
    </row>
    <row r="96" spans="1:8" x14ac:dyDescent="0.25">
      <c r="A96" s="82">
        <v>14</v>
      </c>
      <c r="B96" s="88" t="s">
        <v>36</v>
      </c>
      <c r="C96" s="57" t="s">
        <v>540</v>
      </c>
      <c r="D96" s="26" t="s">
        <v>7</v>
      </c>
      <c r="E96" s="34">
        <v>63</v>
      </c>
      <c r="F96" s="35">
        <v>852.14</v>
      </c>
      <c r="G96" s="35">
        <v>53684.82</v>
      </c>
      <c r="H96" s="35" t="s">
        <v>397</v>
      </c>
    </row>
    <row r="97" spans="1:8" ht="15" customHeight="1" x14ac:dyDescent="0.25">
      <c r="A97" s="87"/>
      <c r="B97" s="89"/>
      <c r="C97" s="112" t="s">
        <v>548</v>
      </c>
      <c r="D97" s="26" t="s">
        <v>7</v>
      </c>
      <c r="E97" s="34">
        <v>1</v>
      </c>
      <c r="F97" s="35">
        <v>7000</v>
      </c>
      <c r="G97" s="35">
        <v>7000</v>
      </c>
      <c r="H97" s="35"/>
    </row>
    <row r="98" spans="1:8" ht="15" customHeight="1" x14ac:dyDescent="0.25">
      <c r="A98" s="83"/>
      <c r="B98" s="90"/>
      <c r="C98" s="57" t="s">
        <v>550</v>
      </c>
      <c r="D98" s="26" t="s">
        <v>76</v>
      </c>
      <c r="E98" s="34">
        <v>1</v>
      </c>
      <c r="F98" s="35">
        <v>151</v>
      </c>
      <c r="G98" s="35">
        <v>151</v>
      </c>
      <c r="H98" s="35"/>
    </row>
    <row r="99" spans="1:8" ht="25.5" x14ac:dyDescent="0.25">
      <c r="A99" s="40"/>
      <c r="B99" s="98"/>
      <c r="C99" s="107" t="s">
        <v>9</v>
      </c>
      <c r="D99" s="40"/>
      <c r="E99" s="41"/>
      <c r="F99" s="42"/>
      <c r="G99" s="42">
        <f>SUM(G96:G98)</f>
        <v>60835.82</v>
      </c>
      <c r="H99" s="40">
        <f>SUM(H96:H96)</f>
        <v>0</v>
      </c>
    </row>
    <row r="100" spans="1:8" x14ac:dyDescent="0.25">
      <c r="A100" s="92">
        <v>15</v>
      </c>
      <c r="B100" s="95" t="s">
        <v>37</v>
      </c>
      <c r="C100" s="57" t="s">
        <v>534</v>
      </c>
      <c r="D100" s="26" t="s">
        <v>7</v>
      </c>
      <c r="E100" s="34">
        <v>1</v>
      </c>
      <c r="F100" s="35">
        <v>2284.75</v>
      </c>
      <c r="G100" s="35">
        <v>2284.75</v>
      </c>
      <c r="H100" s="35" t="s">
        <v>397</v>
      </c>
    </row>
    <row r="101" spans="1:8" x14ac:dyDescent="0.25">
      <c r="A101" s="93"/>
      <c r="B101" s="96"/>
      <c r="C101" s="57" t="s">
        <v>531</v>
      </c>
      <c r="D101" s="26" t="s">
        <v>7</v>
      </c>
      <c r="E101" s="34">
        <v>5</v>
      </c>
      <c r="F101" s="35">
        <v>220.15</v>
      </c>
      <c r="G101" s="35">
        <v>1100.75</v>
      </c>
      <c r="H101" s="35"/>
    </row>
    <row r="102" spans="1:8" x14ac:dyDescent="0.25">
      <c r="A102" s="93"/>
      <c r="B102" s="96"/>
      <c r="C102" s="57" t="s">
        <v>532</v>
      </c>
      <c r="D102" s="26" t="s">
        <v>7</v>
      </c>
      <c r="E102" s="34">
        <v>5</v>
      </c>
      <c r="F102" s="35">
        <v>1665</v>
      </c>
      <c r="G102" s="35">
        <v>8325</v>
      </c>
      <c r="H102" s="35"/>
    </row>
    <row r="103" spans="1:8" x14ac:dyDescent="0.25">
      <c r="A103" s="93"/>
      <c r="B103" s="96"/>
      <c r="C103" s="57" t="s">
        <v>538</v>
      </c>
      <c r="D103" s="26" t="s">
        <v>7</v>
      </c>
      <c r="E103" s="34">
        <v>2</v>
      </c>
      <c r="F103" s="35">
        <v>426.61</v>
      </c>
      <c r="G103" s="35">
        <v>853.22</v>
      </c>
      <c r="H103" s="35"/>
    </row>
    <row r="104" spans="1:8" x14ac:dyDescent="0.25">
      <c r="A104" s="94"/>
      <c r="B104" s="97"/>
      <c r="C104" s="57" t="s">
        <v>540</v>
      </c>
      <c r="D104" s="26" t="s">
        <v>7</v>
      </c>
      <c r="E104" s="34">
        <v>80</v>
      </c>
      <c r="F104" s="35">
        <v>852.14</v>
      </c>
      <c r="G104" s="35">
        <v>68171.199999999997</v>
      </c>
      <c r="H104" s="35"/>
    </row>
    <row r="105" spans="1:8" ht="25.5" x14ac:dyDescent="0.25">
      <c r="A105" s="40"/>
      <c r="B105" s="98"/>
      <c r="C105" s="107" t="s">
        <v>9</v>
      </c>
      <c r="D105" s="40"/>
      <c r="E105" s="41"/>
      <c r="F105" s="42"/>
      <c r="G105" s="42">
        <f>SUM(G100:G104)</f>
        <v>80734.92</v>
      </c>
      <c r="H105" s="40">
        <f>SUM(H100:H100)</f>
        <v>0</v>
      </c>
    </row>
    <row r="106" spans="1:8" ht="15.75" x14ac:dyDescent="0.25">
      <c r="A106" s="82">
        <v>16</v>
      </c>
      <c r="B106" s="88" t="s">
        <v>38</v>
      </c>
      <c r="C106" s="31" t="s">
        <v>536</v>
      </c>
      <c r="D106" s="27" t="s">
        <v>13</v>
      </c>
      <c r="E106" s="28">
        <v>8</v>
      </c>
      <c r="F106" s="147">
        <f>G106/E106</f>
        <v>206</v>
      </c>
      <c r="G106" s="147">
        <v>1648</v>
      </c>
      <c r="H106" s="35" t="s">
        <v>397</v>
      </c>
    </row>
    <row r="107" spans="1:8" ht="15.75" x14ac:dyDescent="0.25">
      <c r="A107" s="87"/>
      <c r="B107" s="89"/>
      <c r="C107" s="175" t="s">
        <v>537</v>
      </c>
      <c r="D107" s="26" t="s">
        <v>13</v>
      </c>
      <c r="E107" s="34">
        <v>14</v>
      </c>
      <c r="F107" s="147">
        <f t="shared" ref="F107:F108" si="0">G107/E107</f>
        <v>700</v>
      </c>
      <c r="G107" s="35">
        <v>9800</v>
      </c>
      <c r="H107" s="35" t="s">
        <v>398</v>
      </c>
    </row>
    <row r="108" spans="1:8" ht="15.75" x14ac:dyDescent="0.25">
      <c r="A108" s="87"/>
      <c r="B108" s="89"/>
      <c r="C108" s="57" t="s">
        <v>170</v>
      </c>
      <c r="D108" s="26" t="s">
        <v>7</v>
      </c>
      <c r="E108" s="34">
        <v>15</v>
      </c>
      <c r="F108" s="147">
        <f t="shared" si="0"/>
        <v>264.33</v>
      </c>
      <c r="G108" s="35">
        <v>3964.95</v>
      </c>
      <c r="H108" s="35" t="s">
        <v>398</v>
      </c>
    </row>
    <row r="109" spans="1:8" x14ac:dyDescent="0.25">
      <c r="A109" s="87"/>
      <c r="B109" s="89"/>
      <c r="C109" s="57" t="s">
        <v>534</v>
      </c>
      <c r="D109" s="26" t="s">
        <v>7</v>
      </c>
      <c r="E109" s="34">
        <v>1</v>
      </c>
      <c r="F109" s="35">
        <v>2284.75</v>
      </c>
      <c r="G109" s="35">
        <v>2284.75</v>
      </c>
      <c r="H109" s="35"/>
    </row>
    <row r="110" spans="1:8" x14ac:dyDescent="0.25">
      <c r="A110" s="87"/>
      <c r="B110" s="89"/>
      <c r="C110" s="57" t="s">
        <v>531</v>
      </c>
      <c r="D110" s="26" t="s">
        <v>7</v>
      </c>
      <c r="E110" s="34">
        <v>20</v>
      </c>
      <c r="F110" s="35">
        <v>220.15</v>
      </c>
      <c r="G110" s="35">
        <v>4403</v>
      </c>
      <c r="H110" s="35"/>
    </row>
    <row r="111" spans="1:8" x14ac:dyDescent="0.25">
      <c r="A111" s="87"/>
      <c r="B111" s="89"/>
      <c r="C111" s="57" t="s">
        <v>538</v>
      </c>
      <c r="D111" s="26" t="s">
        <v>7</v>
      </c>
      <c r="E111" s="34">
        <v>10</v>
      </c>
      <c r="F111" s="35">
        <v>426.61</v>
      </c>
      <c r="G111" s="35">
        <v>4266.1000000000004</v>
      </c>
      <c r="H111" s="35"/>
    </row>
    <row r="112" spans="1:8" x14ac:dyDescent="0.25">
      <c r="A112" s="87"/>
      <c r="B112" s="89"/>
      <c r="C112" s="57" t="s">
        <v>550</v>
      </c>
      <c r="D112" s="26" t="s">
        <v>76</v>
      </c>
      <c r="E112" s="37">
        <v>4</v>
      </c>
      <c r="F112" s="38">
        <v>280</v>
      </c>
      <c r="G112" s="38">
        <v>1120</v>
      </c>
      <c r="H112" s="35"/>
    </row>
    <row r="113" spans="1:8" x14ac:dyDescent="0.25">
      <c r="A113" s="83"/>
      <c r="B113" s="90"/>
      <c r="C113" s="57" t="s">
        <v>553</v>
      </c>
      <c r="D113" s="26" t="s">
        <v>7</v>
      </c>
      <c r="E113" s="34">
        <v>1</v>
      </c>
      <c r="F113" s="35">
        <v>1023.96</v>
      </c>
      <c r="G113" s="35">
        <v>1023.96</v>
      </c>
      <c r="H113" s="35"/>
    </row>
    <row r="114" spans="1:8" ht="25.5" x14ac:dyDescent="0.25">
      <c r="A114" s="40"/>
      <c r="B114" s="98"/>
      <c r="C114" s="107" t="s">
        <v>9</v>
      </c>
      <c r="D114" s="40"/>
      <c r="E114" s="41"/>
      <c r="F114" s="42"/>
      <c r="G114" s="42">
        <f>SUM(G106:G113)</f>
        <v>28510.760000000002</v>
      </c>
      <c r="H114" s="40">
        <f>SUM(H106:H108)</f>
        <v>0</v>
      </c>
    </row>
    <row r="115" spans="1:8" ht="15.75" x14ac:dyDescent="0.25">
      <c r="A115" s="92">
        <v>17</v>
      </c>
      <c r="B115" s="95" t="s">
        <v>44</v>
      </c>
      <c r="C115" s="31" t="s">
        <v>536</v>
      </c>
      <c r="D115" s="27" t="s">
        <v>13</v>
      </c>
      <c r="E115" s="28">
        <v>5</v>
      </c>
      <c r="F115" s="147">
        <f>G115/E115</f>
        <v>91.2</v>
      </c>
      <c r="G115" s="147">
        <v>456</v>
      </c>
      <c r="H115" s="35" t="s">
        <v>397</v>
      </c>
    </row>
    <row r="116" spans="1:8" ht="15.75" x14ac:dyDescent="0.25">
      <c r="A116" s="93"/>
      <c r="B116" s="96"/>
      <c r="C116" s="175" t="s">
        <v>537</v>
      </c>
      <c r="D116" s="26" t="s">
        <v>13</v>
      </c>
      <c r="E116" s="34">
        <v>7</v>
      </c>
      <c r="F116" s="147">
        <f>G116/E116</f>
        <v>295.2</v>
      </c>
      <c r="G116" s="35">
        <v>2066.4</v>
      </c>
      <c r="H116" s="35"/>
    </row>
    <row r="117" spans="1:8" x14ac:dyDescent="0.25">
      <c r="A117" s="93"/>
      <c r="B117" s="96"/>
      <c r="C117" s="57" t="s">
        <v>170</v>
      </c>
      <c r="D117" s="26" t="s">
        <v>7</v>
      </c>
      <c r="E117" s="34">
        <v>15</v>
      </c>
      <c r="F117" s="35">
        <v>264.33</v>
      </c>
      <c r="G117" s="35">
        <v>3964.95</v>
      </c>
      <c r="H117" s="35"/>
    </row>
    <row r="118" spans="1:8" ht="15" customHeight="1" x14ac:dyDescent="0.25">
      <c r="A118" s="93"/>
      <c r="B118" s="96"/>
      <c r="C118" s="57" t="s">
        <v>550</v>
      </c>
      <c r="D118" s="26" t="s">
        <v>76</v>
      </c>
      <c r="E118" s="34">
        <v>3</v>
      </c>
      <c r="F118" s="35">
        <v>160</v>
      </c>
      <c r="G118" s="35">
        <v>480</v>
      </c>
      <c r="H118" s="35"/>
    </row>
    <row r="119" spans="1:8" ht="15" customHeight="1" x14ac:dyDescent="0.25">
      <c r="A119" s="94"/>
      <c r="B119" s="97"/>
      <c r="C119" s="57" t="s">
        <v>553</v>
      </c>
      <c r="D119" s="26" t="s">
        <v>7</v>
      </c>
      <c r="E119" s="34">
        <v>1</v>
      </c>
      <c r="F119" s="35">
        <v>1023.96</v>
      </c>
      <c r="G119" s="35">
        <v>1023.96</v>
      </c>
      <c r="H119" s="35"/>
    </row>
    <row r="120" spans="1:8" ht="15" hidden="1" customHeight="1" x14ac:dyDescent="0.25">
      <c r="A120" s="43"/>
      <c r="B120" s="91"/>
      <c r="C120" s="112"/>
      <c r="D120" s="26"/>
      <c r="E120" s="34"/>
      <c r="F120" s="35"/>
      <c r="G120" s="35"/>
      <c r="H120" s="35"/>
    </row>
    <row r="121" spans="1:8" ht="15" hidden="1" customHeight="1" x14ac:dyDescent="0.25">
      <c r="A121" s="43"/>
      <c r="B121" s="91"/>
      <c r="C121" s="112"/>
      <c r="D121" s="26"/>
      <c r="E121" s="34"/>
      <c r="F121" s="35"/>
      <c r="G121" s="35"/>
      <c r="H121" s="35"/>
    </row>
    <row r="122" spans="1:8" ht="15" hidden="1" customHeight="1" x14ac:dyDescent="0.25">
      <c r="A122" s="43"/>
      <c r="B122" s="91"/>
      <c r="C122" s="112"/>
      <c r="D122" s="26"/>
      <c r="E122" s="34"/>
      <c r="F122" s="35"/>
      <c r="G122" s="35"/>
      <c r="H122" s="35"/>
    </row>
    <row r="123" spans="1:8" ht="15" hidden="1" customHeight="1" x14ac:dyDescent="0.25">
      <c r="A123" s="43"/>
      <c r="B123" s="91"/>
      <c r="C123" s="112"/>
      <c r="D123" s="26"/>
      <c r="E123" s="34"/>
      <c r="F123" s="35"/>
      <c r="G123" s="35"/>
      <c r="H123" s="35"/>
    </row>
    <row r="124" spans="1:8" ht="15" hidden="1" customHeight="1" x14ac:dyDescent="0.25">
      <c r="A124" s="43"/>
      <c r="B124" s="91"/>
      <c r="C124" s="112"/>
      <c r="D124" s="26"/>
      <c r="E124" s="34"/>
      <c r="F124" s="35"/>
      <c r="G124" s="35"/>
      <c r="H124" s="35"/>
    </row>
    <row r="125" spans="1:8" ht="15" hidden="1" customHeight="1" x14ac:dyDescent="0.25">
      <c r="A125" s="43"/>
      <c r="B125" s="91"/>
      <c r="C125" s="112"/>
      <c r="D125" s="26"/>
      <c r="E125" s="34"/>
      <c r="F125" s="35"/>
      <c r="G125" s="35"/>
      <c r="H125" s="35"/>
    </row>
    <row r="126" spans="1:8" ht="15" hidden="1" customHeight="1" x14ac:dyDescent="0.25">
      <c r="A126" s="43"/>
      <c r="B126" s="91"/>
      <c r="C126" s="112"/>
      <c r="D126" s="26"/>
      <c r="E126" s="34"/>
      <c r="F126" s="35"/>
      <c r="G126" s="35"/>
      <c r="H126" s="35"/>
    </row>
    <row r="127" spans="1:8" ht="15" hidden="1" customHeight="1" x14ac:dyDescent="0.25">
      <c r="A127" s="43"/>
      <c r="B127" s="91"/>
      <c r="C127" s="112"/>
      <c r="D127" s="26"/>
      <c r="E127" s="34"/>
      <c r="F127" s="35"/>
      <c r="G127" s="35"/>
      <c r="H127" s="35"/>
    </row>
    <row r="128" spans="1:8" ht="15" hidden="1" customHeight="1" x14ac:dyDescent="0.25">
      <c r="A128" s="43"/>
      <c r="B128" s="91"/>
      <c r="C128" s="112"/>
      <c r="D128" s="26"/>
      <c r="E128" s="34"/>
      <c r="F128" s="35"/>
      <c r="G128" s="35"/>
      <c r="H128" s="35"/>
    </row>
    <row r="129" spans="1:8" ht="15" customHeight="1" x14ac:dyDescent="0.25">
      <c r="A129" s="40"/>
      <c r="B129" s="98"/>
      <c r="C129" s="107"/>
      <c r="D129" s="40"/>
      <c r="E129" s="41"/>
      <c r="F129" s="42"/>
      <c r="G129" s="42">
        <f>SUM(G115:G119)</f>
        <v>7991.31</v>
      </c>
      <c r="H129" s="40"/>
    </row>
    <row r="130" spans="1:8" s="44" customFormat="1" ht="15" customHeight="1" x14ac:dyDescent="0.25">
      <c r="A130" s="92">
        <v>18</v>
      </c>
      <c r="B130" s="95" t="s">
        <v>141</v>
      </c>
      <c r="C130" s="31" t="s">
        <v>536</v>
      </c>
      <c r="D130" s="27" t="s">
        <v>13</v>
      </c>
      <c r="E130" s="28">
        <v>8</v>
      </c>
      <c r="F130" s="147">
        <f>G130/E130</f>
        <v>110.7</v>
      </c>
      <c r="G130" s="147">
        <v>885.6</v>
      </c>
      <c r="H130" s="35" t="s">
        <v>397</v>
      </c>
    </row>
    <row r="131" spans="1:8" s="44" customFormat="1" ht="21" customHeight="1" x14ac:dyDescent="0.25">
      <c r="A131" s="93"/>
      <c r="B131" s="96"/>
      <c r="C131" s="175" t="s">
        <v>537</v>
      </c>
      <c r="D131" s="26" t="s">
        <v>13</v>
      </c>
      <c r="E131" s="34">
        <v>12</v>
      </c>
      <c r="F131" s="147">
        <f>G131/E131</f>
        <v>172</v>
      </c>
      <c r="G131" s="35">
        <v>2064</v>
      </c>
      <c r="H131" s="35"/>
    </row>
    <row r="132" spans="1:8" s="44" customFormat="1" ht="15" customHeight="1" x14ac:dyDescent="0.25">
      <c r="A132" s="93"/>
      <c r="B132" s="96"/>
      <c r="C132" s="57" t="s">
        <v>170</v>
      </c>
      <c r="D132" s="26" t="s">
        <v>7</v>
      </c>
      <c r="E132" s="34">
        <v>15</v>
      </c>
      <c r="F132" s="35">
        <v>264.33</v>
      </c>
      <c r="G132" s="35">
        <v>3964.95</v>
      </c>
      <c r="H132" s="35"/>
    </row>
    <row r="133" spans="1:8" s="44" customFormat="1" ht="15" customHeight="1" x14ac:dyDescent="0.25">
      <c r="A133" s="93"/>
      <c r="B133" s="96"/>
      <c r="C133" s="57" t="s">
        <v>540</v>
      </c>
      <c r="D133" s="26" t="s">
        <v>7</v>
      </c>
      <c r="E133" s="34">
        <v>35</v>
      </c>
      <c r="F133" s="35">
        <v>852.14</v>
      </c>
      <c r="G133" s="35">
        <v>29824.9</v>
      </c>
      <c r="H133" s="35"/>
    </row>
    <row r="134" spans="1:8" s="44" customFormat="1" ht="15" customHeight="1" x14ac:dyDescent="0.25">
      <c r="A134" s="94"/>
      <c r="B134" s="97"/>
      <c r="C134" s="57" t="s">
        <v>553</v>
      </c>
      <c r="D134" s="26" t="s">
        <v>7</v>
      </c>
      <c r="E134" s="34">
        <v>1</v>
      </c>
      <c r="F134" s="35">
        <v>1023.96</v>
      </c>
      <c r="G134" s="35">
        <v>1023.96</v>
      </c>
      <c r="H134" s="35"/>
    </row>
    <row r="135" spans="1:8" s="44" customFormat="1" ht="15" hidden="1" customHeight="1" x14ac:dyDescent="0.25">
      <c r="A135" s="43"/>
      <c r="B135" s="91"/>
      <c r="C135" s="112"/>
      <c r="D135" s="26"/>
      <c r="E135" s="34"/>
      <c r="F135" s="35"/>
      <c r="G135" s="35"/>
      <c r="H135" s="35"/>
    </row>
    <row r="136" spans="1:8" s="44" customFormat="1" ht="15" hidden="1" customHeight="1" x14ac:dyDescent="0.25">
      <c r="A136" s="43"/>
      <c r="B136" s="91"/>
      <c r="C136" s="112"/>
      <c r="D136" s="26"/>
      <c r="E136" s="34"/>
      <c r="F136" s="35"/>
      <c r="G136" s="35"/>
      <c r="H136" s="35"/>
    </row>
    <row r="137" spans="1:8" s="44" customFormat="1" ht="15" hidden="1" customHeight="1" x14ac:dyDescent="0.25">
      <c r="A137" s="43"/>
      <c r="B137" s="91"/>
      <c r="C137" s="112"/>
      <c r="D137" s="26"/>
      <c r="E137" s="34"/>
      <c r="F137" s="35"/>
      <c r="G137" s="35"/>
      <c r="H137" s="35"/>
    </row>
    <row r="138" spans="1:8" s="44" customFormat="1" ht="15" hidden="1" customHeight="1" x14ac:dyDescent="0.25">
      <c r="A138" s="43"/>
      <c r="B138" s="91"/>
      <c r="C138" s="112"/>
      <c r="D138" s="26"/>
      <c r="E138" s="34"/>
      <c r="F138" s="35"/>
      <c r="G138" s="35"/>
      <c r="H138" s="35"/>
    </row>
    <row r="139" spans="1:8" s="44" customFormat="1" ht="15" hidden="1" customHeight="1" x14ac:dyDescent="0.25">
      <c r="A139" s="43"/>
      <c r="B139" s="91"/>
      <c r="C139" s="112"/>
      <c r="D139" s="26"/>
      <c r="E139" s="34"/>
      <c r="F139" s="35"/>
      <c r="G139" s="35"/>
      <c r="H139" s="35"/>
    </row>
    <row r="140" spans="1:8" ht="15" customHeight="1" x14ac:dyDescent="0.25">
      <c r="A140" s="40"/>
      <c r="B140" s="98"/>
      <c r="C140" s="107"/>
      <c r="D140" s="40"/>
      <c r="E140" s="41"/>
      <c r="F140" s="42"/>
      <c r="G140" s="42">
        <f>SUM(G130:G134)</f>
        <v>37763.409999999996</v>
      </c>
      <c r="H140" s="40"/>
    </row>
    <row r="141" spans="1:8" ht="15" customHeight="1" x14ac:dyDescent="0.25">
      <c r="A141" s="26">
        <v>19</v>
      </c>
      <c r="B141" s="99" t="s">
        <v>40</v>
      </c>
      <c r="C141" s="57" t="s">
        <v>550</v>
      </c>
      <c r="D141" s="26" t="s">
        <v>76</v>
      </c>
      <c r="E141" s="34">
        <v>2.5</v>
      </c>
      <c r="F141" s="35">
        <v>198</v>
      </c>
      <c r="G141" s="35">
        <v>495</v>
      </c>
      <c r="H141" s="26"/>
    </row>
    <row r="142" spans="1:8" ht="15" hidden="1" customHeight="1" x14ac:dyDescent="0.25">
      <c r="A142" s="26"/>
      <c r="B142" s="99"/>
      <c r="C142" s="112"/>
      <c r="D142" s="26"/>
      <c r="E142" s="34"/>
      <c r="F142" s="35"/>
      <c r="G142" s="35"/>
      <c r="H142" s="26"/>
    </row>
    <row r="143" spans="1:8" ht="15" hidden="1" customHeight="1" x14ac:dyDescent="0.25">
      <c r="A143" s="26"/>
      <c r="B143" s="99"/>
      <c r="C143" s="112"/>
      <c r="D143" s="26"/>
      <c r="E143" s="34"/>
      <c r="F143" s="35"/>
      <c r="G143" s="35"/>
      <c r="H143" s="26"/>
    </row>
    <row r="144" spans="1:8" ht="15" hidden="1" customHeight="1" x14ac:dyDescent="0.25">
      <c r="A144" s="26"/>
      <c r="B144" s="99"/>
      <c r="C144" s="57"/>
      <c r="D144" s="26"/>
      <c r="E144" s="34"/>
      <c r="F144" s="35"/>
      <c r="G144" s="35"/>
      <c r="H144" s="26"/>
    </row>
    <row r="145" spans="1:8" ht="15" hidden="1" customHeight="1" x14ac:dyDescent="0.25">
      <c r="A145" s="26"/>
      <c r="B145" s="99"/>
      <c r="C145" s="57"/>
      <c r="D145" s="26"/>
      <c r="E145" s="34"/>
      <c r="F145" s="35"/>
      <c r="G145" s="35"/>
      <c r="H145" s="26"/>
    </row>
    <row r="146" spans="1:8" ht="15" hidden="1" customHeight="1" x14ac:dyDescent="0.25">
      <c r="A146" s="26"/>
      <c r="B146" s="99"/>
      <c r="C146" s="57"/>
      <c r="D146" s="26"/>
      <c r="E146" s="34"/>
      <c r="F146" s="35"/>
      <c r="G146" s="35"/>
      <c r="H146" s="26"/>
    </row>
    <row r="147" spans="1:8" ht="15" hidden="1" customHeight="1" x14ac:dyDescent="0.25">
      <c r="A147" s="26"/>
      <c r="B147" s="99"/>
      <c r="C147" s="57"/>
      <c r="D147" s="26"/>
      <c r="E147" s="34"/>
      <c r="F147" s="35"/>
      <c r="G147" s="35"/>
      <c r="H147" s="26"/>
    </row>
    <row r="148" spans="1:8" ht="15" hidden="1" customHeight="1" x14ac:dyDescent="0.25">
      <c r="A148" s="26"/>
      <c r="B148" s="99"/>
      <c r="C148" s="57"/>
      <c r="D148" s="26"/>
      <c r="E148" s="34"/>
      <c r="F148" s="35"/>
      <c r="G148" s="35"/>
      <c r="H148" s="26"/>
    </row>
    <row r="149" spans="1:8" ht="15" hidden="1" customHeight="1" x14ac:dyDescent="0.25">
      <c r="A149" s="26"/>
      <c r="B149" s="99"/>
      <c r="C149" s="57"/>
      <c r="D149" s="26"/>
      <c r="E149" s="34"/>
      <c r="F149" s="35"/>
      <c r="G149" s="35"/>
      <c r="H149" s="26"/>
    </row>
    <row r="150" spans="1:8" ht="15" hidden="1" customHeight="1" x14ac:dyDescent="0.25">
      <c r="A150" s="26"/>
      <c r="B150" s="99"/>
      <c r="C150" s="57"/>
      <c r="D150" s="26"/>
      <c r="E150" s="34"/>
      <c r="F150" s="35"/>
      <c r="G150" s="35"/>
      <c r="H150" s="26"/>
    </row>
    <row r="151" spans="1:8" ht="15" hidden="1" customHeight="1" x14ac:dyDescent="0.25">
      <c r="A151" s="26"/>
      <c r="B151" s="99"/>
      <c r="C151" s="57"/>
      <c r="D151" s="26"/>
      <c r="E151" s="34"/>
      <c r="F151" s="35"/>
      <c r="G151" s="35"/>
      <c r="H151" s="26"/>
    </row>
    <row r="152" spans="1:8" ht="15" hidden="1" customHeight="1" x14ac:dyDescent="0.25">
      <c r="A152" s="26"/>
      <c r="B152" s="99"/>
      <c r="C152" s="57"/>
      <c r="D152" s="26"/>
      <c r="E152" s="34"/>
      <c r="F152" s="35"/>
      <c r="G152" s="35"/>
      <c r="H152" s="26"/>
    </row>
    <row r="153" spans="1:8" ht="15" hidden="1" customHeight="1" x14ac:dyDescent="0.25">
      <c r="A153" s="26"/>
      <c r="B153" s="99"/>
      <c r="C153" s="57"/>
      <c r="D153" s="26"/>
      <c r="E153" s="34"/>
      <c r="F153" s="35"/>
      <c r="G153" s="35"/>
      <c r="H153" s="26"/>
    </row>
    <row r="154" spans="1:8" ht="15" hidden="1" customHeight="1" x14ac:dyDescent="0.25">
      <c r="A154" s="26"/>
      <c r="B154" s="99"/>
      <c r="C154" s="57"/>
      <c r="D154" s="26"/>
      <c r="E154" s="34"/>
      <c r="F154" s="35"/>
      <c r="G154" s="35"/>
      <c r="H154" s="26"/>
    </row>
    <row r="155" spans="1:8" ht="15" hidden="1" customHeight="1" x14ac:dyDescent="0.25">
      <c r="A155" s="26"/>
      <c r="B155" s="99"/>
      <c r="C155" s="57"/>
      <c r="D155" s="26"/>
      <c r="E155" s="34"/>
      <c r="F155" s="35"/>
      <c r="G155" s="35"/>
      <c r="H155" s="26"/>
    </row>
    <row r="156" spans="1:8" ht="15" customHeight="1" x14ac:dyDescent="0.25">
      <c r="A156" s="40"/>
      <c r="B156" s="98"/>
      <c r="C156" s="107"/>
      <c r="D156" s="40"/>
      <c r="E156" s="41"/>
      <c r="F156" s="42"/>
      <c r="G156" s="42">
        <f>SUM(G141:G155)</f>
        <v>495</v>
      </c>
      <c r="H156" s="40">
        <f>SUM(H141:H141)</f>
        <v>0</v>
      </c>
    </row>
    <row r="157" spans="1:8" ht="18.75" customHeight="1" x14ac:dyDescent="0.25">
      <c r="A157" s="92">
        <v>20</v>
      </c>
      <c r="B157" s="95" t="s">
        <v>41</v>
      </c>
      <c r="C157" s="57" t="s">
        <v>540</v>
      </c>
      <c r="D157" s="26" t="s">
        <v>7</v>
      </c>
      <c r="E157" s="34">
        <v>26</v>
      </c>
      <c r="F157" s="35">
        <v>852.14</v>
      </c>
      <c r="G157" s="35">
        <v>22155.64</v>
      </c>
      <c r="H157" s="35" t="s">
        <v>397</v>
      </c>
    </row>
    <row r="158" spans="1:8" x14ac:dyDescent="0.25">
      <c r="A158" s="94"/>
      <c r="B158" s="97"/>
      <c r="C158" s="57" t="s">
        <v>550</v>
      </c>
      <c r="D158" s="26" t="s">
        <v>76</v>
      </c>
      <c r="E158" s="34">
        <v>2</v>
      </c>
      <c r="F158" s="35">
        <v>181</v>
      </c>
      <c r="G158" s="35">
        <v>362</v>
      </c>
      <c r="H158" s="35"/>
    </row>
    <row r="159" spans="1:8" ht="25.5" x14ac:dyDescent="0.25">
      <c r="A159" s="40"/>
      <c r="B159" s="98"/>
      <c r="C159" s="107" t="s">
        <v>9</v>
      </c>
      <c r="D159" s="40"/>
      <c r="E159" s="41"/>
      <c r="F159" s="42"/>
      <c r="G159" s="42">
        <f>SUM(G157:G158)</f>
        <v>22517.64</v>
      </c>
      <c r="H159" s="40">
        <f>SUM(H157:H157)</f>
        <v>0</v>
      </c>
    </row>
    <row r="160" spans="1:8" ht="15.75" x14ac:dyDescent="0.25">
      <c r="A160" s="92">
        <v>21</v>
      </c>
      <c r="B160" s="95" t="s">
        <v>70</v>
      </c>
      <c r="C160" s="31" t="s">
        <v>536</v>
      </c>
      <c r="D160" s="27" t="s">
        <v>13</v>
      </c>
      <c r="E160" s="28">
        <v>8</v>
      </c>
      <c r="F160" s="147">
        <f>G160/E160</f>
        <v>120</v>
      </c>
      <c r="G160" s="147">
        <v>960</v>
      </c>
      <c r="H160" s="35" t="s">
        <v>397</v>
      </c>
    </row>
    <row r="161" spans="1:8" ht="15.75" x14ac:dyDescent="0.25">
      <c r="A161" s="93"/>
      <c r="B161" s="96"/>
      <c r="C161" s="175" t="s">
        <v>537</v>
      </c>
      <c r="D161" s="26" t="s">
        <v>13</v>
      </c>
      <c r="E161" s="34">
        <v>12</v>
      </c>
      <c r="F161" s="147">
        <f>G161/E161</f>
        <v>257.08333333333331</v>
      </c>
      <c r="G161" s="35">
        <v>3085</v>
      </c>
      <c r="H161" s="35" t="s">
        <v>397</v>
      </c>
    </row>
    <row r="162" spans="1:8" x14ac:dyDescent="0.25">
      <c r="A162" s="93"/>
      <c r="B162" s="96"/>
      <c r="C162" s="57" t="s">
        <v>170</v>
      </c>
      <c r="D162" s="26" t="s">
        <v>7</v>
      </c>
      <c r="E162" s="34">
        <v>15</v>
      </c>
      <c r="F162" s="35">
        <v>264.33</v>
      </c>
      <c r="G162" s="35">
        <v>3964.95</v>
      </c>
      <c r="H162" s="35"/>
    </row>
    <row r="163" spans="1:8" x14ac:dyDescent="0.25">
      <c r="A163" s="93"/>
      <c r="B163" s="96"/>
      <c r="C163" s="57" t="s">
        <v>540</v>
      </c>
      <c r="D163" s="26" t="s">
        <v>7</v>
      </c>
      <c r="E163" s="34">
        <v>29</v>
      </c>
      <c r="F163" s="35">
        <v>852.14</v>
      </c>
      <c r="G163" s="35">
        <v>24712.06</v>
      </c>
      <c r="H163" s="35"/>
    </row>
    <row r="164" spans="1:8" x14ac:dyDescent="0.25">
      <c r="A164" s="93"/>
      <c r="B164" s="96"/>
      <c r="C164" s="57" t="s">
        <v>553</v>
      </c>
      <c r="D164" s="26" t="s">
        <v>7</v>
      </c>
      <c r="E164" s="34">
        <v>1</v>
      </c>
      <c r="F164" s="35">
        <v>1023.96</v>
      </c>
      <c r="G164" s="35">
        <v>1023.96</v>
      </c>
      <c r="H164" s="35"/>
    </row>
    <row r="165" spans="1:8" x14ac:dyDescent="0.25">
      <c r="A165" s="93"/>
      <c r="B165" s="96"/>
      <c r="C165" s="57" t="s">
        <v>534</v>
      </c>
      <c r="D165" s="26" t="s">
        <v>7</v>
      </c>
      <c r="E165" s="37">
        <v>10</v>
      </c>
      <c r="F165" s="38">
        <v>2284.75</v>
      </c>
      <c r="G165" s="38">
        <v>22847.5</v>
      </c>
      <c r="H165" s="35"/>
    </row>
    <row r="166" spans="1:8" x14ac:dyDescent="0.25">
      <c r="A166" s="93"/>
      <c r="B166" s="96"/>
      <c r="C166" s="57" t="s">
        <v>531</v>
      </c>
      <c r="D166" s="26" t="s">
        <v>7</v>
      </c>
      <c r="E166" s="37">
        <v>210</v>
      </c>
      <c r="F166" s="38">
        <v>220.15</v>
      </c>
      <c r="G166" s="38">
        <v>46231.5</v>
      </c>
      <c r="H166" s="35"/>
    </row>
    <row r="167" spans="1:8" x14ac:dyDescent="0.25">
      <c r="A167" s="93"/>
      <c r="B167" s="96"/>
      <c r="C167" s="57" t="s">
        <v>532</v>
      </c>
      <c r="D167" s="26" t="s">
        <v>7</v>
      </c>
      <c r="E167" s="37">
        <v>50</v>
      </c>
      <c r="F167" s="38">
        <v>1665</v>
      </c>
      <c r="G167" s="38">
        <v>83250</v>
      </c>
      <c r="H167" s="35"/>
    </row>
    <row r="168" spans="1:8" x14ac:dyDescent="0.25">
      <c r="A168" s="94"/>
      <c r="B168" s="97"/>
      <c r="C168" s="111" t="s">
        <v>538</v>
      </c>
      <c r="D168" s="43" t="s">
        <v>7</v>
      </c>
      <c r="E168" s="37">
        <v>103</v>
      </c>
      <c r="F168" s="38">
        <v>426.61</v>
      </c>
      <c r="G168" s="38">
        <v>43940.83</v>
      </c>
      <c r="H168" s="35"/>
    </row>
    <row r="169" spans="1:8" ht="25.5" x14ac:dyDescent="0.25">
      <c r="A169" s="40"/>
      <c r="B169" s="98"/>
      <c r="C169" s="107" t="s">
        <v>9</v>
      </c>
      <c r="D169" s="40"/>
      <c r="E169" s="41"/>
      <c r="F169" s="42"/>
      <c r="G169" s="42">
        <f>SUM(G160:G168)</f>
        <v>230015.8</v>
      </c>
      <c r="H169" s="40">
        <f>SUM(H160:H164)</f>
        <v>0</v>
      </c>
    </row>
    <row r="170" spans="1:8" x14ac:dyDescent="0.25">
      <c r="A170" s="82">
        <v>22</v>
      </c>
      <c r="B170" s="88" t="s">
        <v>42</v>
      </c>
      <c r="C170" s="57" t="s">
        <v>540</v>
      </c>
      <c r="D170" s="26" t="s">
        <v>7</v>
      </c>
      <c r="E170" s="34">
        <v>26</v>
      </c>
      <c r="F170" s="35">
        <v>852.14</v>
      </c>
      <c r="G170" s="35">
        <v>22155.64</v>
      </c>
      <c r="H170" s="35" t="s">
        <v>397</v>
      </c>
    </row>
    <row r="171" spans="1:8" x14ac:dyDescent="0.25">
      <c r="A171" s="83"/>
      <c r="B171" s="90"/>
      <c r="C171" s="57" t="s">
        <v>550</v>
      </c>
      <c r="D171" s="26" t="s">
        <v>76</v>
      </c>
      <c r="E171" s="34">
        <v>4</v>
      </c>
      <c r="F171" s="35">
        <f>G171/E171</f>
        <v>189.5</v>
      </c>
      <c r="G171" s="35">
        <v>758</v>
      </c>
      <c r="H171" s="35"/>
    </row>
    <row r="172" spans="1:8" ht="25.5" hidden="1" x14ac:dyDescent="0.25">
      <c r="A172" s="26"/>
      <c r="B172" s="99"/>
      <c r="C172" s="171"/>
      <c r="D172" s="26"/>
      <c r="E172" s="34"/>
      <c r="F172" s="35"/>
      <c r="G172" s="35"/>
      <c r="H172" s="35"/>
    </row>
    <row r="173" spans="1:8" ht="25.5" hidden="1" x14ac:dyDescent="0.25">
      <c r="A173" s="26"/>
      <c r="B173" s="99"/>
      <c r="C173" s="171"/>
      <c r="D173" s="26"/>
      <c r="E173" s="34"/>
      <c r="F173" s="35"/>
      <c r="G173" s="35"/>
      <c r="H173" s="35"/>
    </row>
    <row r="174" spans="1:8" ht="25.5" hidden="1" x14ac:dyDescent="0.25">
      <c r="A174" s="26"/>
      <c r="B174" s="99"/>
      <c r="C174" s="171"/>
      <c r="D174" s="26"/>
      <c r="E174" s="34"/>
      <c r="F174" s="35"/>
      <c r="G174" s="35"/>
      <c r="H174" s="35"/>
    </row>
    <row r="175" spans="1:8" ht="25.5" hidden="1" x14ac:dyDescent="0.25">
      <c r="A175" s="26"/>
      <c r="B175" s="99"/>
      <c r="C175" s="171"/>
      <c r="D175" s="26"/>
      <c r="E175" s="34"/>
      <c r="F175" s="35"/>
      <c r="G175" s="35"/>
      <c r="H175" s="35"/>
    </row>
    <row r="176" spans="1:8" ht="25.5" hidden="1" x14ac:dyDescent="0.25">
      <c r="A176" s="26"/>
      <c r="B176" s="99"/>
      <c r="C176" s="171"/>
      <c r="D176" s="26"/>
      <c r="E176" s="34"/>
      <c r="F176" s="35"/>
      <c r="G176" s="35"/>
      <c r="H176" s="35"/>
    </row>
    <row r="177" spans="1:8" ht="25.5" hidden="1" x14ac:dyDescent="0.25">
      <c r="A177" s="26"/>
      <c r="B177" s="99"/>
      <c r="C177" s="171"/>
      <c r="D177" s="26"/>
      <c r="E177" s="34"/>
      <c r="F177" s="35"/>
      <c r="G177" s="35"/>
      <c r="H177" s="35"/>
    </row>
    <row r="178" spans="1:8" ht="25.5" hidden="1" x14ac:dyDescent="0.25">
      <c r="A178" s="26"/>
      <c r="B178" s="99"/>
      <c r="C178" s="171"/>
      <c r="D178" s="26"/>
      <c r="E178" s="34"/>
      <c r="F178" s="35"/>
      <c r="G178" s="35"/>
      <c r="H178" s="35"/>
    </row>
    <row r="179" spans="1:8" ht="25.5" hidden="1" x14ac:dyDescent="0.25">
      <c r="A179" s="26"/>
      <c r="B179" s="99"/>
      <c r="C179" s="171"/>
      <c r="D179" s="26"/>
      <c r="E179" s="34"/>
      <c r="F179" s="35"/>
      <c r="G179" s="35"/>
      <c r="H179" s="35"/>
    </row>
    <row r="180" spans="1:8" ht="25.5" hidden="1" x14ac:dyDescent="0.25">
      <c r="A180" s="26"/>
      <c r="B180" s="99"/>
      <c r="C180" s="171"/>
      <c r="D180" s="26"/>
      <c r="E180" s="34"/>
      <c r="F180" s="35"/>
      <c r="G180" s="35"/>
      <c r="H180" s="35"/>
    </row>
    <row r="181" spans="1:8" ht="25.5" x14ac:dyDescent="0.25">
      <c r="A181" s="40"/>
      <c r="B181" s="98"/>
      <c r="C181" s="107" t="s">
        <v>9</v>
      </c>
      <c r="D181" s="40"/>
      <c r="E181" s="41"/>
      <c r="F181" s="42"/>
      <c r="G181" s="42">
        <f>SUM(G170:G171)</f>
        <v>22913.64</v>
      </c>
      <c r="H181" s="40">
        <f>SUM(H170:H170)</f>
        <v>0</v>
      </c>
    </row>
    <row r="182" spans="1:8" ht="25.5" hidden="1" x14ac:dyDescent="0.25">
      <c r="A182" s="43"/>
      <c r="B182" s="91"/>
      <c r="C182" s="171"/>
      <c r="D182" s="26"/>
      <c r="E182" s="34"/>
      <c r="F182" s="35"/>
      <c r="G182" s="35"/>
      <c r="H182" s="35" t="s">
        <v>397</v>
      </c>
    </row>
    <row r="183" spans="1:8" ht="25.5" hidden="1" x14ac:dyDescent="0.25">
      <c r="A183" s="43"/>
      <c r="B183" s="91"/>
      <c r="C183" s="57"/>
      <c r="D183" s="26"/>
      <c r="E183" s="34"/>
      <c r="F183" s="35"/>
      <c r="G183" s="35"/>
      <c r="H183" s="35" t="s">
        <v>397</v>
      </c>
    </row>
    <row r="184" spans="1:8" ht="25.5" hidden="1" x14ac:dyDescent="0.25">
      <c r="A184" s="43"/>
      <c r="B184" s="91"/>
      <c r="C184" s="112"/>
      <c r="D184" s="26"/>
      <c r="E184" s="34"/>
      <c r="F184" s="35"/>
      <c r="G184" s="35"/>
      <c r="H184" s="35" t="s">
        <v>397</v>
      </c>
    </row>
    <row r="185" spans="1:8" ht="25.5" hidden="1" x14ac:dyDescent="0.25">
      <c r="A185" s="40"/>
      <c r="B185" s="98"/>
      <c r="C185" s="107" t="s">
        <v>9</v>
      </c>
      <c r="D185" s="40"/>
      <c r="E185" s="41"/>
      <c r="F185" s="42"/>
      <c r="G185" s="42">
        <f>SUM(G182:G184)</f>
        <v>0</v>
      </c>
      <c r="H185" s="40"/>
    </row>
    <row r="186" spans="1:8" ht="19.5" customHeight="1" x14ac:dyDescent="0.25">
      <c r="A186" s="92">
        <v>23</v>
      </c>
      <c r="B186" s="95" t="s">
        <v>43</v>
      </c>
      <c r="C186" s="31" t="s">
        <v>536</v>
      </c>
      <c r="D186" s="27" t="s">
        <v>13</v>
      </c>
      <c r="E186" s="28">
        <v>9</v>
      </c>
      <c r="F186" s="147">
        <f>G186/E186</f>
        <v>101.33333333333333</v>
      </c>
      <c r="G186" s="147">
        <v>912</v>
      </c>
      <c r="H186" s="40"/>
    </row>
    <row r="187" spans="1:8" ht="15.75" x14ac:dyDescent="0.25">
      <c r="A187" s="93"/>
      <c r="B187" s="96"/>
      <c r="C187" s="175" t="s">
        <v>537</v>
      </c>
      <c r="D187" s="26" t="s">
        <v>13</v>
      </c>
      <c r="E187" s="34">
        <v>14</v>
      </c>
      <c r="F187" s="147">
        <f>G187/E187</f>
        <v>179</v>
      </c>
      <c r="G187" s="35">
        <v>2506</v>
      </c>
      <c r="H187" s="40"/>
    </row>
    <row r="188" spans="1:8" x14ac:dyDescent="0.25">
      <c r="A188" s="93"/>
      <c r="B188" s="96"/>
      <c r="C188" s="57" t="s">
        <v>170</v>
      </c>
      <c r="D188" s="26" t="s">
        <v>7</v>
      </c>
      <c r="E188" s="34">
        <v>15</v>
      </c>
      <c r="F188" s="35">
        <v>264.33</v>
      </c>
      <c r="G188" s="35">
        <v>3964.95</v>
      </c>
      <c r="H188" s="40"/>
    </row>
    <row r="189" spans="1:8" x14ac:dyDescent="0.25">
      <c r="A189" s="93"/>
      <c r="B189" s="96"/>
      <c r="C189" s="57" t="s">
        <v>550</v>
      </c>
      <c r="D189" s="26" t="s">
        <v>76</v>
      </c>
      <c r="E189" s="34">
        <v>1</v>
      </c>
      <c r="F189" s="35">
        <v>230</v>
      </c>
      <c r="G189" s="35">
        <v>230</v>
      </c>
      <c r="H189" s="40"/>
    </row>
    <row r="190" spans="1:8" x14ac:dyDescent="0.25">
      <c r="A190" s="94"/>
      <c r="B190" s="97"/>
      <c r="C190" s="57" t="s">
        <v>553</v>
      </c>
      <c r="D190" s="26" t="s">
        <v>7</v>
      </c>
      <c r="E190" s="34">
        <v>1</v>
      </c>
      <c r="F190" s="35">
        <v>1023.96</v>
      </c>
      <c r="G190" s="35">
        <v>1023.96</v>
      </c>
      <c r="H190" s="40"/>
    </row>
    <row r="191" spans="1:8" hidden="1" x14ac:dyDescent="0.25">
      <c r="A191" s="43"/>
      <c r="B191" s="43"/>
      <c r="C191" s="57"/>
      <c r="D191" s="26"/>
      <c r="E191" s="34"/>
      <c r="F191" s="35"/>
      <c r="G191" s="35"/>
      <c r="H191" s="40"/>
    </row>
    <row r="192" spans="1:8" hidden="1" x14ac:dyDescent="0.25">
      <c r="A192" s="43"/>
      <c r="B192" s="43"/>
      <c r="C192" s="57"/>
      <c r="D192" s="26"/>
      <c r="E192" s="34"/>
      <c r="F192" s="35"/>
      <c r="G192" s="35"/>
      <c r="H192" s="40"/>
    </row>
    <row r="193" spans="1:8" x14ac:dyDescent="0.25">
      <c r="A193" s="40"/>
      <c r="B193" s="40"/>
      <c r="C193" s="107" t="s">
        <v>9</v>
      </c>
      <c r="D193" s="40"/>
      <c r="E193" s="41"/>
      <c r="F193" s="42"/>
      <c r="G193" s="42">
        <f>SUM(G186:G191)</f>
        <v>8636.91</v>
      </c>
      <c r="H193" s="40"/>
    </row>
    <row r="194" spans="1:8" hidden="1" x14ac:dyDescent="0.25">
      <c r="A194" s="43"/>
      <c r="B194" s="43" t="s">
        <v>552</v>
      </c>
      <c r="C194" s="57" t="s">
        <v>550</v>
      </c>
      <c r="D194" s="43" t="s">
        <v>76</v>
      </c>
      <c r="E194" s="37"/>
      <c r="F194" s="38"/>
      <c r="G194" s="38"/>
      <c r="H194" s="40"/>
    </row>
    <row r="195" spans="1:8" hidden="1" x14ac:dyDescent="0.25">
      <c r="A195" s="43"/>
      <c r="B195" s="43"/>
      <c r="C195" s="111"/>
      <c r="D195" s="43"/>
      <c r="E195" s="37"/>
      <c r="F195" s="38"/>
      <c r="G195" s="38"/>
      <c r="H195" s="40"/>
    </row>
    <row r="196" spans="1:8" hidden="1" x14ac:dyDescent="0.25">
      <c r="A196" s="43"/>
      <c r="B196" s="43"/>
      <c r="C196" s="111"/>
      <c r="D196" s="43"/>
      <c r="E196" s="37"/>
      <c r="F196" s="38"/>
      <c r="G196" s="38"/>
      <c r="H196" s="40"/>
    </row>
    <row r="197" spans="1:8" hidden="1" x14ac:dyDescent="0.25">
      <c r="A197" s="43"/>
      <c r="B197" s="43"/>
      <c r="C197" s="111"/>
      <c r="D197" s="43"/>
      <c r="E197" s="37"/>
      <c r="F197" s="38"/>
      <c r="G197" s="38"/>
      <c r="H197" s="40"/>
    </row>
    <row r="198" spans="1:8" hidden="1" x14ac:dyDescent="0.25">
      <c r="A198" s="43"/>
      <c r="B198" s="43"/>
      <c r="C198" s="111"/>
      <c r="D198" s="43"/>
      <c r="E198" s="37"/>
      <c r="F198" s="38"/>
      <c r="G198" s="38"/>
      <c r="H198" s="40"/>
    </row>
    <row r="199" spans="1:8" hidden="1" x14ac:dyDescent="0.25">
      <c r="A199" s="43"/>
      <c r="B199" s="43"/>
      <c r="C199" s="111"/>
      <c r="D199" s="43"/>
      <c r="E199" s="37"/>
      <c r="F199" s="38"/>
      <c r="G199" s="38"/>
      <c r="H199" s="40"/>
    </row>
    <row r="200" spans="1:8" hidden="1" x14ac:dyDescent="0.25">
      <c r="A200" s="43"/>
      <c r="B200" s="43"/>
      <c r="C200" s="111"/>
      <c r="D200" s="43"/>
      <c r="E200" s="37"/>
      <c r="F200" s="38"/>
      <c r="G200" s="38"/>
      <c r="H200" s="40"/>
    </row>
    <row r="201" spans="1:8" hidden="1" x14ac:dyDescent="0.25">
      <c r="A201" s="173"/>
      <c r="B201" s="174"/>
      <c r="C201" s="107" t="s">
        <v>9</v>
      </c>
      <c r="D201" s="40"/>
      <c r="E201" s="41"/>
      <c r="F201" s="42"/>
      <c r="G201" s="42">
        <f>SUM(G194:G200)</f>
        <v>0</v>
      </c>
      <c r="H201" s="40"/>
    </row>
    <row r="202" spans="1:8" x14ac:dyDescent="0.25">
      <c r="A202" s="159" t="s">
        <v>554</v>
      </c>
      <c r="B202" s="160"/>
      <c r="C202" s="169"/>
      <c r="D202" s="45"/>
      <c r="E202" s="49"/>
      <c r="F202" s="50"/>
      <c r="G202" s="50">
        <f>G201+G193+G181+G169+G159+G156+G140+G129+G114+G105+G99+G95+G82+G75+G67+G60+G57+G54+G48+G41+G30+G27+G20+G85</f>
        <v>1306801.31</v>
      </c>
      <c r="H202" s="45"/>
    </row>
    <row r="203" spans="1:8" ht="21" hidden="1" customHeight="1" x14ac:dyDescent="0.25">
      <c r="A203" s="43">
        <v>1</v>
      </c>
      <c r="B203" s="43" t="s">
        <v>97</v>
      </c>
      <c r="C203" s="57" t="s">
        <v>540</v>
      </c>
      <c r="D203" s="26" t="s">
        <v>7</v>
      </c>
      <c r="E203" s="34"/>
      <c r="F203" s="35"/>
      <c r="G203" s="35"/>
      <c r="H203" s="35" t="s">
        <v>397</v>
      </c>
    </row>
    <row r="204" spans="1:8" hidden="1" x14ac:dyDescent="0.25">
      <c r="A204" s="43"/>
      <c r="B204" s="43"/>
      <c r="C204" s="57"/>
      <c r="D204" s="26"/>
      <c r="E204" s="34"/>
      <c r="F204" s="35"/>
      <c r="G204" s="35"/>
      <c r="H204" s="35"/>
    </row>
    <row r="205" spans="1:8" hidden="1" x14ac:dyDescent="0.25">
      <c r="A205" s="43"/>
      <c r="B205" s="43"/>
      <c r="C205" s="57"/>
      <c r="D205" s="26"/>
      <c r="E205" s="34"/>
      <c r="F205" s="35"/>
      <c r="G205" s="35"/>
      <c r="H205" s="35"/>
    </row>
    <row r="206" spans="1:8" hidden="1" x14ac:dyDescent="0.25">
      <c r="A206" s="43"/>
      <c r="B206" s="43"/>
      <c r="C206" s="112"/>
      <c r="D206" s="26"/>
      <c r="E206" s="34"/>
      <c r="F206" s="35"/>
      <c r="G206" s="35"/>
      <c r="H206" s="35"/>
    </row>
    <row r="207" spans="1:8" hidden="1" x14ac:dyDescent="0.25">
      <c r="A207" s="43"/>
      <c r="B207" s="43"/>
      <c r="C207" s="112"/>
      <c r="D207" s="26"/>
      <c r="E207" s="34"/>
      <c r="F207" s="35"/>
      <c r="G207" s="35"/>
      <c r="H207" s="35"/>
    </row>
    <row r="208" spans="1:8" hidden="1" x14ac:dyDescent="0.25">
      <c r="A208" s="43"/>
      <c r="B208" s="43"/>
      <c r="C208" s="112"/>
      <c r="D208" s="26"/>
      <c r="E208" s="34"/>
      <c r="F208" s="35"/>
      <c r="G208" s="35"/>
      <c r="H208" s="35"/>
    </row>
    <row r="209" spans="1:8" hidden="1" x14ac:dyDescent="0.25">
      <c r="A209" s="43"/>
      <c r="B209" s="43"/>
      <c r="C209" s="112"/>
      <c r="D209" s="26"/>
      <c r="E209" s="34"/>
      <c r="F209" s="35"/>
      <c r="G209" s="35"/>
      <c r="H209" s="35"/>
    </row>
    <row r="210" spans="1:8" hidden="1" x14ac:dyDescent="0.25">
      <c r="A210" s="43"/>
      <c r="B210" s="43"/>
      <c r="C210" s="112"/>
      <c r="D210" s="26"/>
      <c r="E210" s="34"/>
      <c r="F210" s="35"/>
      <c r="G210" s="35"/>
      <c r="H210" s="35"/>
    </row>
    <row r="211" spans="1:8" hidden="1" x14ac:dyDescent="0.25">
      <c r="A211" s="40"/>
      <c r="B211" s="40"/>
      <c r="C211" s="107"/>
      <c r="D211" s="40"/>
      <c r="E211" s="41"/>
      <c r="F211" s="42"/>
      <c r="G211" s="50">
        <f>SUM(G203:H206)</f>
        <v>0</v>
      </c>
      <c r="H211" s="40">
        <f>SUM(H203:H203)</f>
        <v>0</v>
      </c>
    </row>
    <row r="212" spans="1:8" hidden="1" x14ac:dyDescent="0.25">
      <c r="A212" s="45"/>
      <c r="B212" s="45"/>
      <c r="C212" s="169"/>
      <c r="D212" s="45"/>
      <c r="E212" s="49"/>
      <c r="F212" s="50"/>
      <c r="G212" s="51">
        <f>G211+G202</f>
        <v>1306801.31</v>
      </c>
      <c r="H212" s="45"/>
    </row>
    <row r="214" spans="1:8" x14ac:dyDescent="0.25">
      <c r="B214" s="36" t="s">
        <v>63</v>
      </c>
    </row>
  </sheetData>
  <mergeCells count="46">
    <mergeCell ref="B160:B168"/>
    <mergeCell ref="A160:A168"/>
    <mergeCell ref="B170:B171"/>
    <mergeCell ref="A170:A171"/>
    <mergeCell ref="B186:B190"/>
    <mergeCell ref="A186:A190"/>
    <mergeCell ref="B115:B119"/>
    <mergeCell ref="A115:A119"/>
    <mergeCell ref="B130:B134"/>
    <mergeCell ref="A130:A134"/>
    <mergeCell ref="B157:B158"/>
    <mergeCell ref="A157:A158"/>
    <mergeCell ref="A96:A98"/>
    <mergeCell ref="B96:B98"/>
    <mergeCell ref="A100:A104"/>
    <mergeCell ref="B100:B104"/>
    <mergeCell ref="B106:B113"/>
    <mergeCell ref="A106:A113"/>
    <mergeCell ref="A76:A81"/>
    <mergeCell ref="B76:B81"/>
    <mergeCell ref="A83:A84"/>
    <mergeCell ref="B83:B84"/>
    <mergeCell ref="A86:A94"/>
    <mergeCell ref="B86:B94"/>
    <mergeCell ref="A58:A59"/>
    <mergeCell ref="B58:B59"/>
    <mergeCell ref="A61:A66"/>
    <mergeCell ref="B61:B66"/>
    <mergeCell ref="A68:A73"/>
    <mergeCell ref="B68:B73"/>
    <mergeCell ref="A1:H1"/>
    <mergeCell ref="A202:B202"/>
    <mergeCell ref="A3:A19"/>
    <mergeCell ref="B3:B19"/>
    <mergeCell ref="A21:A26"/>
    <mergeCell ref="B21:B26"/>
    <mergeCell ref="A28:A29"/>
    <mergeCell ref="B28:B29"/>
    <mergeCell ref="A31:A40"/>
    <mergeCell ref="B31:B40"/>
    <mergeCell ref="A42:A47"/>
    <mergeCell ref="B42:B47"/>
    <mergeCell ref="A49:A53"/>
    <mergeCell ref="B49:B53"/>
    <mergeCell ref="A55:A56"/>
    <mergeCell ref="B55:B56"/>
  </mergeCells>
  <pageMargins left="0.23622047244094491" right="0.19685039370078741" top="0.74803149606299213" bottom="0.74803149606299213" header="0.31496062992125984" footer="0.31496062992125984"/>
  <pageSetup paperSize="9" scale="48" orientation="portrait" verticalDpi="0" r:id="rId1"/>
  <rowBreaks count="2" manualBreakCount="2">
    <brk id="67" max="16383" man="1"/>
    <brk id="159" max="16383" man="1"/>
  </rowBreaks>
  <colBreaks count="1" manualBreakCount="1">
    <brk id="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9"/>
  <sheetViews>
    <sheetView view="pageBreakPreview" zoomScaleNormal="100" zoomScaleSheetLayoutView="100" workbookViewId="0">
      <pane ySplit="2" topLeftCell="A3" activePane="bottomLeft" state="frozen"/>
      <selection pane="bottomLeft" activeCell="A2" sqref="A2"/>
    </sheetView>
  </sheetViews>
  <sheetFormatPr defaultRowHeight="15" x14ac:dyDescent="0.25"/>
  <cols>
    <col min="1" max="1" width="6.28515625" style="36" customWidth="1"/>
    <col min="2" max="2" width="26.140625" style="36" customWidth="1"/>
    <col min="3" max="3" width="37.140625" style="170" customWidth="1"/>
    <col min="4" max="4" width="8.42578125" style="36" customWidth="1"/>
    <col min="5" max="5" width="9.140625" style="52" customWidth="1"/>
    <col min="6" max="6" width="14.7109375" style="39" customWidth="1"/>
    <col min="7" max="7" width="13.85546875" style="39" customWidth="1"/>
    <col min="8" max="8" width="22.85546875" style="36" hidden="1" customWidth="1"/>
    <col min="9" max="16384" width="9.140625" style="36"/>
  </cols>
  <sheetData>
    <row r="1" spans="1:8" ht="18.75" x14ac:dyDescent="0.25">
      <c r="A1" s="86" t="s">
        <v>580</v>
      </c>
      <c r="B1" s="86"/>
      <c r="C1" s="86"/>
      <c r="D1" s="86"/>
      <c r="E1" s="86"/>
      <c r="F1" s="86"/>
      <c r="G1" s="86"/>
      <c r="H1" s="86"/>
    </row>
    <row r="2" spans="1:8" ht="33.75" customHeight="1" x14ac:dyDescent="0.25">
      <c r="A2" s="22" t="s">
        <v>0</v>
      </c>
      <c r="B2" s="23" t="s">
        <v>1</v>
      </c>
      <c r="C2" s="166" t="s">
        <v>2</v>
      </c>
      <c r="D2" s="22" t="s">
        <v>3</v>
      </c>
      <c r="E2" s="24" t="s">
        <v>4</v>
      </c>
      <c r="F2" s="25" t="s">
        <v>5</v>
      </c>
      <c r="G2" s="25" t="s">
        <v>6</v>
      </c>
      <c r="H2" s="20" t="s">
        <v>54</v>
      </c>
    </row>
    <row r="3" spans="1:8" ht="15.75" x14ac:dyDescent="0.25">
      <c r="A3" s="113">
        <v>1</v>
      </c>
      <c r="B3" s="88" t="s">
        <v>55</v>
      </c>
      <c r="C3" s="31" t="s">
        <v>570</v>
      </c>
      <c r="D3" s="27" t="s">
        <v>7</v>
      </c>
      <c r="E3" s="28">
        <v>2</v>
      </c>
      <c r="F3" s="147">
        <v>46.81</v>
      </c>
      <c r="G3" s="147">
        <v>93.62</v>
      </c>
      <c r="H3" s="20"/>
    </row>
    <row r="4" spans="1:8" ht="15.75" x14ac:dyDescent="0.25">
      <c r="A4" s="114"/>
      <c r="B4" s="89"/>
      <c r="C4" s="31" t="s">
        <v>571</v>
      </c>
      <c r="D4" s="27" t="s">
        <v>7</v>
      </c>
      <c r="E4" s="28">
        <v>1</v>
      </c>
      <c r="F4" s="147">
        <v>1389.61</v>
      </c>
      <c r="G4" s="147">
        <v>1389.61</v>
      </c>
      <c r="H4" s="20"/>
    </row>
    <row r="5" spans="1:8" ht="15.75" x14ac:dyDescent="0.25">
      <c r="A5" s="114"/>
      <c r="B5" s="89"/>
      <c r="C5" s="31" t="s">
        <v>572</v>
      </c>
      <c r="D5" s="27" t="s">
        <v>7</v>
      </c>
      <c r="E5" s="28">
        <v>4</v>
      </c>
      <c r="F5" s="147">
        <v>139.33000000000001</v>
      </c>
      <c r="G5" s="147">
        <v>557.32000000000005</v>
      </c>
      <c r="H5" s="20"/>
    </row>
    <row r="6" spans="1:8" ht="15.75" x14ac:dyDescent="0.25">
      <c r="A6" s="114"/>
      <c r="B6" s="89"/>
      <c r="C6" s="31" t="s">
        <v>573</v>
      </c>
      <c r="D6" s="27" t="s">
        <v>7</v>
      </c>
      <c r="E6" s="28">
        <v>7</v>
      </c>
      <c r="F6" s="147">
        <v>70.430000000000007</v>
      </c>
      <c r="G6" s="147">
        <v>493.01</v>
      </c>
      <c r="H6" s="20"/>
    </row>
    <row r="7" spans="1:8" ht="15.75" x14ac:dyDescent="0.25">
      <c r="A7" s="115"/>
      <c r="B7" s="90"/>
      <c r="C7" s="31" t="s">
        <v>574</v>
      </c>
      <c r="D7" s="27" t="s">
        <v>7</v>
      </c>
      <c r="E7" s="28">
        <v>2</v>
      </c>
      <c r="F7" s="147">
        <v>1358.23</v>
      </c>
      <c r="G7" s="147">
        <v>2716.46</v>
      </c>
      <c r="H7" s="20"/>
    </row>
    <row r="8" spans="1:8" ht="25.5" x14ac:dyDescent="0.25">
      <c r="A8" s="40"/>
      <c r="B8" s="98"/>
      <c r="C8" s="107" t="s">
        <v>9</v>
      </c>
      <c r="D8" s="40"/>
      <c r="E8" s="41"/>
      <c r="F8" s="42"/>
      <c r="G8" s="42">
        <f>SUM(G3:G7)</f>
        <v>5250.02</v>
      </c>
      <c r="H8" s="42" t="e">
        <f>SUM(#REF!)</f>
        <v>#REF!</v>
      </c>
    </row>
    <row r="9" spans="1:8" ht="15.75" x14ac:dyDescent="0.25">
      <c r="A9" s="92">
        <v>2</v>
      </c>
      <c r="B9" s="95" t="s">
        <v>64</v>
      </c>
      <c r="C9" s="31" t="s">
        <v>570</v>
      </c>
      <c r="D9" s="27" t="s">
        <v>7</v>
      </c>
      <c r="E9" s="28">
        <v>3</v>
      </c>
      <c r="F9" s="147">
        <v>46.81</v>
      </c>
      <c r="G9" s="147">
        <v>140.43</v>
      </c>
      <c r="H9" s="35" t="s">
        <v>397</v>
      </c>
    </row>
    <row r="10" spans="1:8" ht="15.75" x14ac:dyDescent="0.25">
      <c r="A10" s="93"/>
      <c r="B10" s="96"/>
      <c r="C10" s="31" t="s">
        <v>571</v>
      </c>
      <c r="D10" s="27" t="s">
        <v>7</v>
      </c>
      <c r="E10" s="28">
        <v>1</v>
      </c>
      <c r="F10" s="147">
        <v>1389.61</v>
      </c>
      <c r="G10" s="147">
        <v>1389.61</v>
      </c>
      <c r="H10" s="35"/>
    </row>
    <row r="11" spans="1:8" ht="15.75" x14ac:dyDescent="0.25">
      <c r="A11" s="93"/>
      <c r="B11" s="96"/>
      <c r="C11" s="31" t="s">
        <v>572</v>
      </c>
      <c r="D11" s="27" t="s">
        <v>7</v>
      </c>
      <c r="E11" s="28">
        <v>5</v>
      </c>
      <c r="F11" s="147">
        <v>139.33000000000001</v>
      </c>
      <c r="G11" s="147">
        <v>696.65</v>
      </c>
      <c r="H11" s="35"/>
    </row>
    <row r="12" spans="1:8" ht="15.75" x14ac:dyDescent="0.25">
      <c r="A12" s="93"/>
      <c r="B12" s="96"/>
      <c r="C12" s="31" t="s">
        <v>573</v>
      </c>
      <c r="D12" s="27" t="s">
        <v>7</v>
      </c>
      <c r="E12" s="28">
        <v>15</v>
      </c>
      <c r="F12" s="147">
        <v>70.430000000000007</v>
      </c>
      <c r="G12" s="147">
        <v>1056.45</v>
      </c>
      <c r="H12" s="35"/>
    </row>
    <row r="13" spans="1:8" ht="15.75" x14ac:dyDescent="0.25">
      <c r="A13" s="93"/>
      <c r="B13" s="96"/>
      <c r="C13" s="31" t="s">
        <v>574</v>
      </c>
      <c r="D13" s="27" t="s">
        <v>7</v>
      </c>
      <c r="E13" s="28">
        <v>3</v>
      </c>
      <c r="F13" s="147">
        <v>1358.23</v>
      </c>
      <c r="G13" s="147">
        <v>4074.69</v>
      </c>
      <c r="H13" s="35"/>
    </row>
    <row r="14" spans="1:8" x14ac:dyDescent="0.25">
      <c r="A14" s="93"/>
      <c r="B14" s="96"/>
      <c r="C14" s="57" t="s">
        <v>575</v>
      </c>
      <c r="D14" s="26" t="s">
        <v>13</v>
      </c>
      <c r="E14" s="34">
        <v>5</v>
      </c>
      <c r="F14" s="35">
        <v>350.52</v>
      </c>
      <c r="G14" s="35">
        <v>1752.6</v>
      </c>
      <c r="H14" s="35"/>
    </row>
    <row r="15" spans="1:8" x14ac:dyDescent="0.25">
      <c r="A15" s="93"/>
      <c r="B15" s="96"/>
      <c r="C15" s="57" t="s">
        <v>576</v>
      </c>
      <c r="D15" s="26" t="s">
        <v>7</v>
      </c>
      <c r="E15" s="34">
        <v>2</v>
      </c>
      <c r="F15" s="35">
        <v>636.32000000000005</v>
      </c>
      <c r="G15" s="35">
        <v>1272.6400000000001</v>
      </c>
      <c r="H15" s="35"/>
    </row>
    <row r="16" spans="1:8" x14ac:dyDescent="0.25">
      <c r="A16" s="94"/>
      <c r="B16" s="97"/>
      <c r="C16" s="57" t="s">
        <v>577</v>
      </c>
      <c r="D16" s="26" t="s">
        <v>7</v>
      </c>
      <c r="E16" s="34">
        <v>2</v>
      </c>
      <c r="F16" s="35">
        <v>638.15</v>
      </c>
      <c r="G16" s="35">
        <v>1276.3</v>
      </c>
      <c r="H16" s="35"/>
    </row>
    <row r="17" spans="1:8" ht="15" customHeight="1" x14ac:dyDescent="0.25">
      <c r="A17" s="40"/>
      <c r="B17" s="98"/>
      <c r="C17" s="107"/>
      <c r="D17" s="40"/>
      <c r="E17" s="41"/>
      <c r="F17" s="42"/>
      <c r="G17" s="42">
        <f>SUM(G9:G16)</f>
        <v>11659.369999999999</v>
      </c>
      <c r="H17" s="40"/>
    </row>
    <row r="18" spans="1:8" ht="30" x14ac:dyDescent="0.25">
      <c r="A18" s="92">
        <v>3</v>
      </c>
      <c r="B18" s="88" t="s">
        <v>22</v>
      </c>
      <c r="C18" s="175" t="s">
        <v>555</v>
      </c>
      <c r="D18" s="26" t="s">
        <v>7</v>
      </c>
      <c r="E18" s="34">
        <v>1</v>
      </c>
      <c r="F18" s="35">
        <v>113811</v>
      </c>
      <c r="G18" s="35">
        <v>113811</v>
      </c>
      <c r="H18" s="35" t="s">
        <v>397</v>
      </c>
    </row>
    <row r="19" spans="1:8" x14ac:dyDescent="0.25">
      <c r="A19" s="93"/>
      <c r="B19" s="89"/>
      <c r="C19" s="112" t="s">
        <v>556</v>
      </c>
      <c r="D19" s="26" t="s">
        <v>76</v>
      </c>
      <c r="E19" s="34">
        <v>1</v>
      </c>
      <c r="F19" s="35">
        <v>320</v>
      </c>
      <c r="G19" s="35">
        <v>320</v>
      </c>
      <c r="H19" s="35" t="s">
        <v>397</v>
      </c>
    </row>
    <row r="20" spans="1:8" ht="15.75" x14ac:dyDescent="0.25">
      <c r="A20" s="93"/>
      <c r="B20" s="89"/>
      <c r="C20" s="31" t="s">
        <v>570</v>
      </c>
      <c r="D20" s="27" t="s">
        <v>7</v>
      </c>
      <c r="E20" s="28">
        <v>3</v>
      </c>
      <c r="F20" s="147">
        <v>46.81</v>
      </c>
      <c r="G20" s="147">
        <v>140.43</v>
      </c>
      <c r="H20" s="35" t="s">
        <v>397</v>
      </c>
    </row>
    <row r="21" spans="1:8" ht="15.75" x14ac:dyDescent="0.25">
      <c r="A21" s="93"/>
      <c r="B21" s="89"/>
      <c r="C21" s="31" t="s">
        <v>571</v>
      </c>
      <c r="D21" s="27" t="s">
        <v>7</v>
      </c>
      <c r="E21" s="28">
        <v>1</v>
      </c>
      <c r="F21" s="147">
        <v>1389.61</v>
      </c>
      <c r="G21" s="147">
        <v>1389.61</v>
      </c>
      <c r="H21" s="35" t="s">
        <v>397</v>
      </c>
    </row>
    <row r="22" spans="1:8" ht="15.75" x14ac:dyDescent="0.25">
      <c r="A22" s="93"/>
      <c r="B22" s="89"/>
      <c r="C22" s="31" t="s">
        <v>572</v>
      </c>
      <c r="D22" s="27" t="s">
        <v>7</v>
      </c>
      <c r="E22" s="28">
        <v>4</v>
      </c>
      <c r="F22" s="147">
        <v>139.33000000000001</v>
      </c>
      <c r="G22" s="147">
        <v>557.32000000000005</v>
      </c>
      <c r="H22" s="35"/>
    </row>
    <row r="23" spans="1:8" ht="15.75" x14ac:dyDescent="0.25">
      <c r="A23" s="93"/>
      <c r="B23" s="89"/>
      <c r="C23" s="31" t="s">
        <v>573</v>
      </c>
      <c r="D23" s="27" t="s">
        <v>7</v>
      </c>
      <c r="E23" s="28">
        <v>7</v>
      </c>
      <c r="F23" s="147">
        <v>70.430000000000007</v>
      </c>
      <c r="G23" s="147">
        <v>493.01</v>
      </c>
      <c r="H23" s="35"/>
    </row>
    <row r="24" spans="1:8" ht="15.75" x14ac:dyDescent="0.25">
      <c r="A24" s="93"/>
      <c r="B24" s="89"/>
      <c r="C24" s="31" t="s">
        <v>574</v>
      </c>
      <c r="D24" s="27" t="s">
        <v>7</v>
      </c>
      <c r="E24" s="28">
        <v>2</v>
      </c>
      <c r="F24" s="147">
        <v>1358.23</v>
      </c>
      <c r="G24" s="147">
        <v>2716.46</v>
      </c>
      <c r="H24" s="35"/>
    </row>
    <row r="25" spans="1:8" x14ac:dyDescent="0.25">
      <c r="A25" s="93"/>
      <c r="B25" s="89"/>
      <c r="C25" s="57" t="s">
        <v>576</v>
      </c>
      <c r="D25" s="26" t="s">
        <v>7</v>
      </c>
      <c r="E25" s="34">
        <v>9</v>
      </c>
      <c r="F25" s="35">
        <v>636.32000000000005</v>
      </c>
      <c r="G25" s="35">
        <v>5726.88</v>
      </c>
      <c r="H25" s="35"/>
    </row>
    <row r="26" spans="1:8" x14ac:dyDescent="0.25">
      <c r="A26" s="94"/>
      <c r="B26" s="90"/>
      <c r="C26" s="57" t="s">
        <v>577</v>
      </c>
      <c r="D26" s="26" t="s">
        <v>7</v>
      </c>
      <c r="E26" s="34">
        <v>9</v>
      </c>
      <c r="F26" s="35">
        <v>638.15</v>
      </c>
      <c r="G26" s="35">
        <v>5743.35</v>
      </c>
      <c r="H26" s="35"/>
    </row>
    <row r="27" spans="1:8" ht="25.5" x14ac:dyDescent="0.25">
      <c r="A27" s="40"/>
      <c r="B27" s="98"/>
      <c r="C27" s="107" t="s">
        <v>9</v>
      </c>
      <c r="D27" s="40"/>
      <c r="E27" s="41"/>
      <c r="F27" s="42"/>
      <c r="G27" s="42">
        <f>SUM(G18:G26)</f>
        <v>130898.06000000001</v>
      </c>
      <c r="H27" s="42">
        <f>SUM(H18:H21)</f>
        <v>0</v>
      </c>
    </row>
    <row r="28" spans="1:8" ht="15.75" x14ac:dyDescent="0.25">
      <c r="A28" s="82">
        <v>4</v>
      </c>
      <c r="B28" s="88" t="s">
        <v>24</v>
      </c>
      <c r="C28" s="31" t="s">
        <v>532</v>
      </c>
      <c r="D28" s="27" t="s">
        <v>7</v>
      </c>
      <c r="E28" s="28">
        <v>10</v>
      </c>
      <c r="F28" s="147">
        <v>1665</v>
      </c>
      <c r="G28" s="147">
        <v>16650</v>
      </c>
      <c r="H28" s="35" t="s">
        <v>397</v>
      </c>
    </row>
    <row r="29" spans="1:8" x14ac:dyDescent="0.25">
      <c r="A29" s="87"/>
      <c r="B29" s="89"/>
      <c r="C29" s="175" t="s">
        <v>539</v>
      </c>
      <c r="D29" s="26" t="s">
        <v>7</v>
      </c>
      <c r="E29" s="34">
        <v>12</v>
      </c>
      <c r="F29" s="35">
        <v>682.65</v>
      </c>
      <c r="G29" s="35">
        <v>8191.8</v>
      </c>
      <c r="H29" s="35" t="s">
        <v>397</v>
      </c>
    </row>
    <row r="30" spans="1:8" ht="15.75" x14ac:dyDescent="0.25">
      <c r="A30" s="87"/>
      <c r="B30" s="89"/>
      <c r="C30" s="31" t="s">
        <v>570</v>
      </c>
      <c r="D30" s="27" t="s">
        <v>7</v>
      </c>
      <c r="E30" s="28">
        <v>3</v>
      </c>
      <c r="F30" s="147">
        <v>46.81</v>
      </c>
      <c r="G30" s="147">
        <v>140.43</v>
      </c>
      <c r="H30" s="35"/>
    </row>
    <row r="31" spans="1:8" ht="15.75" x14ac:dyDescent="0.25">
      <c r="A31" s="87"/>
      <c r="B31" s="89"/>
      <c r="C31" s="31" t="s">
        <v>571</v>
      </c>
      <c r="D31" s="27" t="s">
        <v>7</v>
      </c>
      <c r="E31" s="28">
        <v>1</v>
      </c>
      <c r="F31" s="147">
        <v>1389.61</v>
      </c>
      <c r="G31" s="147">
        <v>1389.61</v>
      </c>
      <c r="H31" s="35"/>
    </row>
    <row r="32" spans="1:8" ht="15.75" x14ac:dyDescent="0.25">
      <c r="A32" s="87"/>
      <c r="B32" s="89"/>
      <c r="C32" s="31" t="s">
        <v>572</v>
      </c>
      <c r="D32" s="27" t="s">
        <v>7</v>
      </c>
      <c r="E32" s="28">
        <v>4</v>
      </c>
      <c r="F32" s="147">
        <v>139.33000000000001</v>
      </c>
      <c r="G32" s="147">
        <v>557.32000000000005</v>
      </c>
      <c r="H32" s="35"/>
    </row>
    <row r="33" spans="1:8" ht="15.75" x14ac:dyDescent="0.25">
      <c r="A33" s="87"/>
      <c r="B33" s="89"/>
      <c r="C33" s="31" t="s">
        <v>574</v>
      </c>
      <c r="D33" s="27" t="s">
        <v>7</v>
      </c>
      <c r="E33" s="28">
        <v>1</v>
      </c>
      <c r="F33" s="147">
        <v>1165.8399999999999</v>
      </c>
      <c r="G33" s="147">
        <v>1165.8399999999999</v>
      </c>
      <c r="H33" s="35"/>
    </row>
    <row r="34" spans="1:8" ht="15.75" x14ac:dyDescent="0.25">
      <c r="A34" s="87"/>
      <c r="B34" s="89"/>
      <c r="C34" s="31" t="s">
        <v>573</v>
      </c>
      <c r="D34" s="27" t="s">
        <v>7</v>
      </c>
      <c r="E34" s="28">
        <v>15</v>
      </c>
      <c r="F34" s="147">
        <v>70.430000000000007</v>
      </c>
      <c r="G34" s="147">
        <v>1056.45</v>
      </c>
      <c r="H34" s="35"/>
    </row>
    <row r="35" spans="1:8" ht="15.75" x14ac:dyDescent="0.25">
      <c r="A35" s="87"/>
      <c r="B35" s="89"/>
      <c r="C35" s="31" t="s">
        <v>574</v>
      </c>
      <c r="D35" s="27" t="s">
        <v>7</v>
      </c>
      <c r="E35" s="28">
        <v>3</v>
      </c>
      <c r="F35" s="147">
        <v>1358.23</v>
      </c>
      <c r="G35" s="147">
        <v>4074.69</v>
      </c>
      <c r="H35" s="35"/>
    </row>
    <row r="36" spans="1:8" x14ac:dyDescent="0.25">
      <c r="A36" s="87"/>
      <c r="B36" s="89"/>
      <c r="C36" s="57" t="s">
        <v>575</v>
      </c>
      <c r="D36" s="26" t="s">
        <v>13</v>
      </c>
      <c r="E36" s="34">
        <v>5</v>
      </c>
      <c r="F36" s="35">
        <v>350.52</v>
      </c>
      <c r="G36" s="35">
        <v>1752.6</v>
      </c>
      <c r="H36" s="35"/>
    </row>
    <row r="37" spans="1:8" x14ac:dyDescent="0.25">
      <c r="A37" s="87"/>
      <c r="B37" s="89"/>
      <c r="C37" s="57" t="s">
        <v>576</v>
      </c>
      <c r="D37" s="26" t="s">
        <v>7</v>
      </c>
      <c r="E37" s="34">
        <v>3</v>
      </c>
      <c r="F37" s="35">
        <v>636.32000000000005</v>
      </c>
      <c r="G37" s="35">
        <v>1908.96</v>
      </c>
      <c r="H37" s="35"/>
    </row>
    <row r="38" spans="1:8" x14ac:dyDescent="0.25">
      <c r="A38" s="83"/>
      <c r="B38" s="90"/>
      <c r="C38" s="57" t="s">
        <v>577</v>
      </c>
      <c r="D38" s="26" t="s">
        <v>7</v>
      </c>
      <c r="E38" s="34">
        <v>3</v>
      </c>
      <c r="F38" s="35">
        <v>638.15</v>
      </c>
      <c r="G38" s="35">
        <v>1914.45</v>
      </c>
      <c r="H38" s="35"/>
    </row>
    <row r="39" spans="1:8" ht="25.5" x14ac:dyDescent="0.25">
      <c r="A39" s="40"/>
      <c r="B39" s="98"/>
      <c r="C39" s="107" t="s">
        <v>9</v>
      </c>
      <c r="D39" s="40"/>
      <c r="E39" s="41"/>
      <c r="F39" s="42"/>
      <c r="G39" s="42">
        <f>SUM(G28:G38)</f>
        <v>38802.149999999994</v>
      </c>
      <c r="H39" s="40"/>
    </row>
    <row r="40" spans="1:8" ht="15.75" x14ac:dyDescent="0.25">
      <c r="A40" s="92">
        <v>5</v>
      </c>
      <c r="B40" s="95" t="s">
        <v>25</v>
      </c>
      <c r="C40" s="31" t="s">
        <v>570</v>
      </c>
      <c r="D40" s="27" t="s">
        <v>7</v>
      </c>
      <c r="E40" s="28">
        <v>3</v>
      </c>
      <c r="F40" s="147">
        <v>46.81</v>
      </c>
      <c r="G40" s="147">
        <v>140.43</v>
      </c>
      <c r="H40" s="35" t="s">
        <v>397</v>
      </c>
    </row>
    <row r="41" spans="1:8" ht="15.75" x14ac:dyDescent="0.25">
      <c r="A41" s="93"/>
      <c r="B41" s="96"/>
      <c r="C41" s="31" t="s">
        <v>571</v>
      </c>
      <c r="D41" s="27" t="s">
        <v>7</v>
      </c>
      <c r="E41" s="28">
        <v>1</v>
      </c>
      <c r="F41" s="147">
        <v>1389.61</v>
      </c>
      <c r="G41" s="147">
        <v>1389.61</v>
      </c>
      <c r="H41" s="35"/>
    </row>
    <row r="42" spans="1:8" ht="15.75" x14ac:dyDescent="0.25">
      <c r="A42" s="93"/>
      <c r="B42" s="96"/>
      <c r="C42" s="31" t="s">
        <v>572</v>
      </c>
      <c r="D42" s="27" t="s">
        <v>7</v>
      </c>
      <c r="E42" s="28">
        <v>4</v>
      </c>
      <c r="F42" s="147">
        <v>139.33000000000001</v>
      </c>
      <c r="G42" s="147">
        <v>557.32000000000005</v>
      </c>
      <c r="H42" s="35"/>
    </row>
    <row r="43" spans="1:8" ht="15.75" x14ac:dyDescent="0.25">
      <c r="A43" s="93"/>
      <c r="B43" s="96"/>
      <c r="C43" s="31" t="s">
        <v>573</v>
      </c>
      <c r="D43" s="27" t="s">
        <v>7</v>
      </c>
      <c r="E43" s="28">
        <v>15</v>
      </c>
      <c r="F43" s="147">
        <v>70.430000000000007</v>
      </c>
      <c r="G43" s="147">
        <v>1056.45</v>
      </c>
      <c r="H43" s="35"/>
    </row>
    <row r="44" spans="1:8" ht="15.75" x14ac:dyDescent="0.25">
      <c r="A44" s="93"/>
      <c r="B44" s="96"/>
      <c r="C44" s="31" t="s">
        <v>574</v>
      </c>
      <c r="D44" s="27" t="s">
        <v>7</v>
      </c>
      <c r="E44" s="28">
        <v>3</v>
      </c>
      <c r="F44" s="147">
        <v>1358.23</v>
      </c>
      <c r="G44" s="147">
        <v>4074.69</v>
      </c>
      <c r="H44" s="35"/>
    </row>
    <row r="45" spans="1:8" x14ac:dyDescent="0.25">
      <c r="A45" s="93"/>
      <c r="B45" s="96"/>
      <c r="C45" s="57" t="s">
        <v>575</v>
      </c>
      <c r="D45" s="26" t="s">
        <v>13</v>
      </c>
      <c r="E45" s="34">
        <v>3</v>
      </c>
      <c r="F45" s="35">
        <v>350.52</v>
      </c>
      <c r="G45" s="35">
        <v>1051.56</v>
      </c>
      <c r="H45" s="35"/>
    </row>
    <row r="46" spans="1:8" x14ac:dyDescent="0.25">
      <c r="A46" s="93"/>
      <c r="B46" s="96"/>
      <c r="C46" s="57" t="s">
        <v>576</v>
      </c>
      <c r="D46" s="26" t="s">
        <v>7</v>
      </c>
      <c r="E46" s="34">
        <v>3</v>
      </c>
      <c r="F46" s="35">
        <v>636.32000000000005</v>
      </c>
      <c r="G46" s="35">
        <v>1908.96</v>
      </c>
      <c r="H46" s="35"/>
    </row>
    <row r="47" spans="1:8" x14ac:dyDescent="0.25">
      <c r="A47" s="94"/>
      <c r="B47" s="97"/>
      <c r="C47" s="57" t="s">
        <v>577</v>
      </c>
      <c r="D47" s="26" t="s">
        <v>7</v>
      </c>
      <c r="E47" s="34">
        <v>3</v>
      </c>
      <c r="F47" s="35">
        <v>638.15</v>
      </c>
      <c r="G47" s="35">
        <v>1914.45</v>
      </c>
      <c r="H47" s="35"/>
    </row>
    <row r="48" spans="1:8" ht="25.5" x14ac:dyDescent="0.25">
      <c r="A48" s="40"/>
      <c r="B48" s="98"/>
      <c r="C48" s="107" t="s">
        <v>9</v>
      </c>
      <c r="D48" s="40"/>
      <c r="E48" s="41"/>
      <c r="F48" s="42"/>
      <c r="G48" s="42">
        <f>SUM(G40:G47)</f>
        <v>12093.470000000001</v>
      </c>
      <c r="H48" s="40"/>
    </row>
    <row r="49" spans="1:8" ht="15.75" x14ac:dyDescent="0.25">
      <c r="A49" s="92">
        <v>6</v>
      </c>
      <c r="B49" s="95" t="s">
        <v>26</v>
      </c>
      <c r="C49" s="31" t="s">
        <v>532</v>
      </c>
      <c r="D49" s="27" t="s">
        <v>7</v>
      </c>
      <c r="E49" s="28">
        <v>8</v>
      </c>
      <c r="F49" s="147">
        <v>1665</v>
      </c>
      <c r="G49" s="147">
        <v>13320</v>
      </c>
      <c r="H49" s="35" t="s">
        <v>397</v>
      </c>
    </row>
    <row r="50" spans="1:8" ht="15.75" x14ac:dyDescent="0.25">
      <c r="A50" s="93"/>
      <c r="B50" s="96"/>
      <c r="C50" s="31" t="s">
        <v>570</v>
      </c>
      <c r="D50" s="27" t="s">
        <v>7</v>
      </c>
      <c r="E50" s="28">
        <v>3</v>
      </c>
      <c r="F50" s="147">
        <v>46.81</v>
      </c>
      <c r="G50" s="147">
        <v>140.43</v>
      </c>
      <c r="H50" s="35" t="s">
        <v>397</v>
      </c>
    </row>
    <row r="51" spans="1:8" ht="15.75" x14ac:dyDescent="0.25">
      <c r="A51" s="93"/>
      <c r="B51" s="96"/>
      <c r="C51" s="31" t="s">
        <v>571</v>
      </c>
      <c r="D51" s="27" t="s">
        <v>7</v>
      </c>
      <c r="E51" s="28">
        <v>1</v>
      </c>
      <c r="F51" s="147">
        <v>1389.61</v>
      </c>
      <c r="G51" s="147">
        <v>1389.61</v>
      </c>
      <c r="H51" s="35"/>
    </row>
    <row r="52" spans="1:8" ht="15.75" x14ac:dyDescent="0.25">
      <c r="A52" s="93"/>
      <c r="B52" s="96"/>
      <c r="C52" s="31" t="s">
        <v>572</v>
      </c>
      <c r="D52" s="27" t="s">
        <v>7</v>
      </c>
      <c r="E52" s="28">
        <v>4</v>
      </c>
      <c r="F52" s="147">
        <v>139.33000000000001</v>
      </c>
      <c r="G52" s="147">
        <v>557.32000000000005</v>
      </c>
      <c r="H52" s="35"/>
    </row>
    <row r="53" spans="1:8" ht="15.75" x14ac:dyDescent="0.25">
      <c r="A53" s="93"/>
      <c r="B53" s="96"/>
      <c r="C53" s="31" t="s">
        <v>578</v>
      </c>
      <c r="D53" s="27" t="s">
        <v>579</v>
      </c>
      <c r="E53" s="28">
        <v>1</v>
      </c>
      <c r="F53" s="147">
        <v>893.07</v>
      </c>
      <c r="G53" s="147">
        <v>893.07</v>
      </c>
      <c r="H53" s="35"/>
    </row>
    <row r="54" spans="1:8" ht="15.75" x14ac:dyDescent="0.25">
      <c r="A54" s="93"/>
      <c r="B54" s="96"/>
      <c r="C54" s="31" t="s">
        <v>574</v>
      </c>
      <c r="D54" s="27" t="s">
        <v>7</v>
      </c>
      <c r="E54" s="28">
        <v>1</v>
      </c>
      <c r="F54" s="147">
        <v>1165.8399999999999</v>
      </c>
      <c r="G54" s="147">
        <v>1165.8399999999999</v>
      </c>
      <c r="H54" s="35"/>
    </row>
    <row r="55" spans="1:8" ht="15.75" x14ac:dyDescent="0.25">
      <c r="A55" s="93"/>
      <c r="B55" s="96"/>
      <c r="C55" s="31" t="s">
        <v>573</v>
      </c>
      <c r="D55" s="27" t="s">
        <v>7</v>
      </c>
      <c r="E55" s="28">
        <v>15</v>
      </c>
      <c r="F55" s="147">
        <v>70.430000000000007</v>
      </c>
      <c r="G55" s="147">
        <v>1056.45</v>
      </c>
      <c r="H55" s="35"/>
    </row>
    <row r="56" spans="1:8" ht="15.75" x14ac:dyDescent="0.25">
      <c r="A56" s="93"/>
      <c r="B56" s="96"/>
      <c r="C56" s="31" t="s">
        <v>574</v>
      </c>
      <c r="D56" s="27" t="s">
        <v>7</v>
      </c>
      <c r="E56" s="28">
        <v>3</v>
      </c>
      <c r="F56" s="147">
        <v>1358.23</v>
      </c>
      <c r="G56" s="147">
        <v>4074.69</v>
      </c>
      <c r="H56" s="35"/>
    </row>
    <row r="57" spans="1:8" x14ac:dyDescent="0.25">
      <c r="A57" s="94"/>
      <c r="B57" s="97"/>
      <c r="C57" s="57" t="s">
        <v>575</v>
      </c>
      <c r="D57" s="26" t="s">
        <v>13</v>
      </c>
      <c r="E57" s="34">
        <v>5</v>
      </c>
      <c r="F57" s="35">
        <v>350.52</v>
      </c>
      <c r="G57" s="35">
        <v>1752.6</v>
      </c>
      <c r="H57" s="35"/>
    </row>
    <row r="58" spans="1:8" ht="25.5" x14ac:dyDescent="0.25">
      <c r="A58" s="40"/>
      <c r="B58" s="98"/>
      <c r="C58" s="107" t="s">
        <v>9</v>
      </c>
      <c r="D58" s="40"/>
      <c r="E58" s="41"/>
      <c r="F58" s="42"/>
      <c r="G58" s="42">
        <f>SUM(G49:H57)</f>
        <v>24350.01</v>
      </c>
      <c r="H58" s="40">
        <f>SUM(H49:H50)</f>
        <v>0</v>
      </c>
    </row>
    <row r="59" spans="1:8" x14ac:dyDescent="0.25">
      <c r="A59" s="92">
        <v>7</v>
      </c>
      <c r="B59" s="95" t="s">
        <v>45</v>
      </c>
      <c r="C59" s="57" t="s">
        <v>557</v>
      </c>
      <c r="D59" s="26" t="s">
        <v>76</v>
      </c>
      <c r="E59" s="34">
        <v>2</v>
      </c>
      <c r="F59" s="35">
        <v>150</v>
      </c>
      <c r="G59" s="35">
        <v>300</v>
      </c>
      <c r="H59" s="35" t="s">
        <v>397</v>
      </c>
    </row>
    <row r="60" spans="1:8" ht="15.75" x14ac:dyDescent="0.25">
      <c r="A60" s="93"/>
      <c r="B60" s="96"/>
      <c r="C60" s="31" t="s">
        <v>570</v>
      </c>
      <c r="D60" s="27" t="s">
        <v>7</v>
      </c>
      <c r="E60" s="28">
        <v>3</v>
      </c>
      <c r="F60" s="147">
        <v>46.81</v>
      </c>
      <c r="G60" s="147">
        <v>140.43</v>
      </c>
      <c r="H60" s="35"/>
    </row>
    <row r="61" spans="1:8" ht="15.75" x14ac:dyDescent="0.25">
      <c r="A61" s="93"/>
      <c r="B61" s="96"/>
      <c r="C61" s="31" t="s">
        <v>571</v>
      </c>
      <c r="D61" s="27" t="s">
        <v>7</v>
      </c>
      <c r="E61" s="28">
        <v>1</v>
      </c>
      <c r="F61" s="147">
        <v>1389.61</v>
      </c>
      <c r="G61" s="147">
        <v>1389.61</v>
      </c>
      <c r="H61" s="35"/>
    </row>
    <row r="62" spans="1:8" ht="15.75" x14ac:dyDescent="0.25">
      <c r="A62" s="93"/>
      <c r="B62" s="96"/>
      <c r="C62" s="31" t="s">
        <v>572</v>
      </c>
      <c r="D62" s="27" t="s">
        <v>7</v>
      </c>
      <c r="E62" s="28">
        <v>4</v>
      </c>
      <c r="F62" s="147">
        <v>139.33000000000001</v>
      </c>
      <c r="G62" s="147">
        <v>557.32000000000005</v>
      </c>
      <c r="H62" s="35"/>
    </row>
    <row r="63" spans="1:8" ht="15.75" x14ac:dyDescent="0.25">
      <c r="A63" s="93"/>
      <c r="B63" s="96"/>
      <c r="C63" s="31" t="s">
        <v>573</v>
      </c>
      <c r="D63" s="27" t="s">
        <v>7</v>
      </c>
      <c r="E63" s="28">
        <v>7</v>
      </c>
      <c r="F63" s="147">
        <v>70.430000000000007</v>
      </c>
      <c r="G63" s="147">
        <v>493.01</v>
      </c>
      <c r="H63" s="35"/>
    </row>
    <row r="64" spans="1:8" ht="15.75" x14ac:dyDescent="0.25">
      <c r="A64" s="93"/>
      <c r="B64" s="96"/>
      <c r="C64" s="31" t="s">
        <v>574</v>
      </c>
      <c r="D64" s="27" t="s">
        <v>7</v>
      </c>
      <c r="E64" s="28">
        <v>2</v>
      </c>
      <c r="F64" s="147">
        <v>1358.23</v>
      </c>
      <c r="G64" s="147">
        <v>2716.46</v>
      </c>
      <c r="H64" s="35"/>
    </row>
    <row r="65" spans="1:8" x14ac:dyDescent="0.25">
      <c r="A65" s="93"/>
      <c r="B65" s="96"/>
      <c r="C65" s="57" t="s">
        <v>576</v>
      </c>
      <c r="D65" s="26" t="s">
        <v>7</v>
      </c>
      <c r="E65" s="34">
        <v>15</v>
      </c>
      <c r="F65" s="35">
        <v>636.32000000000005</v>
      </c>
      <c r="G65" s="35">
        <v>9544.7999999999993</v>
      </c>
      <c r="H65" s="35"/>
    </row>
    <row r="66" spans="1:8" x14ac:dyDescent="0.25">
      <c r="A66" s="93"/>
      <c r="B66" s="96"/>
      <c r="C66" s="57" t="s">
        <v>577</v>
      </c>
      <c r="D66" s="26" t="s">
        <v>7</v>
      </c>
      <c r="E66" s="34">
        <v>15</v>
      </c>
      <c r="F66" s="35">
        <v>638.15</v>
      </c>
      <c r="G66" s="35">
        <v>9572.25</v>
      </c>
      <c r="H66" s="35"/>
    </row>
    <row r="67" spans="1:8" ht="25.5" x14ac:dyDescent="0.25">
      <c r="A67" s="40"/>
      <c r="B67" s="98"/>
      <c r="C67" s="107" t="s">
        <v>9</v>
      </c>
      <c r="D67" s="40"/>
      <c r="E67" s="41"/>
      <c r="F67" s="42"/>
      <c r="G67" s="42">
        <f>SUM(G59:G66)</f>
        <v>24713.879999999997</v>
      </c>
      <c r="H67" s="40">
        <f>SUM(H59:H60)</f>
        <v>0</v>
      </c>
    </row>
    <row r="68" spans="1:8" ht="15.75" x14ac:dyDescent="0.25">
      <c r="A68" s="82">
        <v>8</v>
      </c>
      <c r="B68" s="88" t="s">
        <v>27</v>
      </c>
      <c r="C68" s="31" t="s">
        <v>570</v>
      </c>
      <c r="D68" s="27" t="s">
        <v>7</v>
      </c>
      <c r="E68" s="28">
        <v>2</v>
      </c>
      <c r="F68" s="147">
        <v>46.81</v>
      </c>
      <c r="G68" s="147">
        <v>93.62</v>
      </c>
      <c r="H68" s="35" t="s">
        <v>397</v>
      </c>
    </row>
    <row r="69" spans="1:8" ht="15.75" x14ac:dyDescent="0.25">
      <c r="A69" s="87"/>
      <c r="B69" s="89"/>
      <c r="C69" s="31" t="s">
        <v>571</v>
      </c>
      <c r="D69" s="27" t="s">
        <v>7</v>
      </c>
      <c r="E69" s="28">
        <v>1</v>
      </c>
      <c r="F69" s="147">
        <v>1389.61</v>
      </c>
      <c r="G69" s="147">
        <v>1389.61</v>
      </c>
      <c r="H69" s="35"/>
    </row>
    <row r="70" spans="1:8" ht="15.75" x14ac:dyDescent="0.25">
      <c r="A70" s="87"/>
      <c r="B70" s="89"/>
      <c r="C70" s="31" t="s">
        <v>572</v>
      </c>
      <c r="D70" s="27" t="s">
        <v>7</v>
      </c>
      <c r="E70" s="28">
        <v>4</v>
      </c>
      <c r="F70" s="147">
        <v>139.33000000000001</v>
      </c>
      <c r="G70" s="147">
        <v>557.32000000000005</v>
      </c>
      <c r="H70" s="35"/>
    </row>
    <row r="71" spans="1:8" ht="15.75" x14ac:dyDescent="0.25">
      <c r="A71" s="87"/>
      <c r="B71" s="89"/>
      <c r="C71" s="31" t="s">
        <v>573</v>
      </c>
      <c r="D71" s="27" t="s">
        <v>7</v>
      </c>
      <c r="E71" s="28">
        <v>10</v>
      </c>
      <c r="F71" s="147">
        <v>70.430000000000007</v>
      </c>
      <c r="G71" s="147">
        <v>704.3</v>
      </c>
      <c r="H71" s="35"/>
    </row>
    <row r="72" spans="1:8" ht="15.75" x14ac:dyDescent="0.25">
      <c r="A72" s="87"/>
      <c r="B72" s="89"/>
      <c r="C72" s="31" t="s">
        <v>574</v>
      </c>
      <c r="D72" s="27" t="s">
        <v>7</v>
      </c>
      <c r="E72" s="28">
        <v>2</v>
      </c>
      <c r="F72" s="147">
        <v>1358.23</v>
      </c>
      <c r="G72" s="147">
        <v>2716.46</v>
      </c>
      <c r="H72" s="35"/>
    </row>
    <row r="73" spans="1:8" x14ac:dyDescent="0.25">
      <c r="A73" s="87"/>
      <c r="B73" s="89"/>
      <c r="C73" s="57" t="s">
        <v>575</v>
      </c>
      <c r="D73" s="26" t="s">
        <v>13</v>
      </c>
      <c r="E73" s="34">
        <v>3</v>
      </c>
      <c r="F73" s="35">
        <v>350.52</v>
      </c>
      <c r="G73" s="35">
        <v>1051.56</v>
      </c>
      <c r="H73" s="35"/>
    </row>
    <row r="74" spans="1:8" x14ac:dyDescent="0.25">
      <c r="A74" s="87"/>
      <c r="B74" s="89"/>
      <c r="C74" s="57" t="s">
        <v>576</v>
      </c>
      <c r="D74" s="26" t="s">
        <v>7</v>
      </c>
      <c r="E74" s="34">
        <v>8</v>
      </c>
      <c r="F74" s="35">
        <v>636.32000000000005</v>
      </c>
      <c r="G74" s="35">
        <v>5090.5600000000004</v>
      </c>
      <c r="H74" s="35"/>
    </row>
    <row r="75" spans="1:8" x14ac:dyDescent="0.25">
      <c r="A75" s="83"/>
      <c r="B75" s="90"/>
      <c r="C75" s="57" t="s">
        <v>577</v>
      </c>
      <c r="D75" s="26" t="s">
        <v>7</v>
      </c>
      <c r="E75" s="34">
        <v>8</v>
      </c>
      <c r="F75" s="35">
        <v>638.15</v>
      </c>
      <c r="G75" s="35">
        <v>5105.2</v>
      </c>
      <c r="H75" s="35"/>
    </row>
    <row r="76" spans="1:8" ht="25.5" x14ac:dyDescent="0.25">
      <c r="A76" s="40"/>
      <c r="B76" s="98"/>
      <c r="C76" s="107" t="s">
        <v>9</v>
      </c>
      <c r="D76" s="40"/>
      <c r="E76" s="41"/>
      <c r="F76" s="42"/>
      <c r="G76" s="42">
        <f>SUM(G68:H75)</f>
        <v>16708.63</v>
      </c>
      <c r="H76" s="40">
        <f>SUM(H68:H68)</f>
        <v>0</v>
      </c>
    </row>
    <row r="77" spans="1:8" ht="17.25" customHeight="1" x14ac:dyDescent="0.25">
      <c r="A77" s="92">
        <v>9</v>
      </c>
      <c r="B77" s="95" t="s">
        <v>29</v>
      </c>
      <c r="C77" s="31" t="s">
        <v>570</v>
      </c>
      <c r="D77" s="27" t="s">
        <v>7</v>
      </c>
      <c r="E77" s="28">
        <v>3</v>
      </c>
      <c r="F77" s="147">
        <v>46.81</v>
      </c>
      <c r="G77" s="147">
        <v>140.43</v>
      </c>
      <c r="H77" s="35" t="s">
        <v>397</v>
      </c>
    </row>
    <row r="78" spans="1:8" ht="15.75" x14ac:dyDescent="0.25">
      <c r="A78" s="93"/>
      <c r="B78" s="96"/>
      <c r="C78" s="31" t="s">
        <v>571</v>
      </c>
      <c r="D78" s="27" t="s">
        <v>7</v>
      </c>
      <c r="E78" s="28">
        <v>1</v>
      </c>
      <c r="F78" s="147">
        <v>1389.61</v>
      </c>
      <c r="G78" s="147">
        <v>1389.61</v>
      </c>
      <c r="H78" s="35" t="s">
        <v>397</v>
      </c>
    </row>
    <row r="79" spans="1:8" ht="15" customHeight="1" x14ac:dyDescent="0.25">
      <c r="A79" s="93"/>
      <c r="B79" s="96"/>
      <c r="C79" s="31" t="s">
        <v>572</v>
      </c>
      <c r="D79" s="27" t="s">
        <v>7</v>
      </c>
      <c r="E79" s="28">
        <v>4</v>
      </c>
      <c r="F79" s="147">
        <v>139.33000000000001</v>
      </c>
      <c r="G79" s="147">
        <v>557.32000000000005</v>
      </c>
      <c r="H79" s="35"/>
    </row>
    <row r="80" spans="1:8" ht="15" customHeight="1" x14ac:dyDescent="0.25">
      <c r="A80" s="93"/>
      <c r="B80" s="96"/>
      <c r="C80" s="31" t="s">
        <v>573</v>
      </c>
      <c r="D80" s="27" t="s">
        <v>7</v>
      </c>
      <c r="E80" s="28">
        <v>15</v>
      </c>
      <c r="F80" s="147">
        <v>70.430000000000007</v>
      </c>
      <c r="G80" s="147">
        <v>1056.45</v>
      </c>
      <c r="H80" s="35"/>
    </row>
    <row r="81" spans="1:8" ht="15" customHeight="1" x14ac:dyDescent="0.25">
      <c r="A81" s="93"/>
      <c r="B81" s="96"/>
      <c r="C81" s="31" t="s">
        <v>574</v>
      </c>
      <c r="D81" s="27" t="s">
        <v>7</v>
      </c>
      <c r="E81" s="28">
        <v>3</v>
      </c>
      <c r="F81" s="147">
        <v>1358.23</v>
      </c>
      <c r="G81" s="147">
        <v>4074.69</v>
      </c>
      <c r="H81" s="35"/>
    </row>
    <row r="82" spans="1:8" ht="15" customHeight="1" x14ac:dyDescent="0.25">
      <c r="A82" s="93"/>
      <c r="B82" s="96"/>
      <c r="C82" s="57" t="s">
        <v>575</v>
      </c>
      <c r="D82" s="26" t="s">
        <v>13</v>
      </c>
      <c r="E82" s="34">
        <v>5</v>
      </c>
      <c r="F82" s="35">
        <v>350.52</v>
      </c>
      <c r="G82" s="35">
        <v>1752.6</v>
      </c>
      <c r="H82" s="35"/>
    </row>
    <row r="83" spans="1:8" ht="15" customHeight="1" x14ac:dyDescent="0.25">
      <c r="A83" s="93"/>
      <c r="B83" s="96"/>
      <c r="C83" s="57" t="s">
        <v>576</v>
      </c>
      <c r="D83" s="26" t="s">
        <v>7</v>
      </c>
      <c r="E83" s="34">
        <v>7</v>
      </c>
      <c r="F83" s="35">
        <v>636.32000000000005</v>
      </c>
      <c r="G83" s="35">
        <v>4454.24</v>
      </c>
      <c r="H83" s="35"/>
    </row>
    <row r="84" spans="1:8" ht="15" customHeight="1" x14ac:dyDescent="0.25">
      <c r="A84" s="94"/>
      <c r="B84" s="97"/>
      <c r="C84" s="57" t="s">
        <v>577</v>
      </c>
      <c r="D84" s="26" t="s">
        <v>7</v>
      </c>
      <c r="E84" s="34">
        <v>7</v>
      </c>
      <c r="F84" s="35">
        <v>638.15</v>
      </c>
      <c r="G84" s="35">
        <v>4467.05</v>
      </c>
      <c r="H84" s="35"/>
    </row>
    <row r="85" spans="1:8" ht="15" customHeight="1" x14ac:dyDescent="0.25">
      <c r="A85" s="40"/>
      <c r="B85" s="98"/>
      <c r="C85" s="107" t="s">
        <v>9</v>
      </c>
      <c r="D85" s="40"/>
      <c r="E85" s="41"/>
      <c r="F85" s="42"/>
      <c r="G85" s="42">
        <f>SUM(G77:G84)</f>
        <v>17892.39</v>
      </c>
      <c r="H85" s="40"/>
    </row>
    <row r="86" spans="1:8" ht="15" customHeight="1" x14ac:dyDescent="0.25">
      <c r="A86" s="92">
        <v>10</v>
      </c>
      <c r="B86" s="95" t="s">
        <v>32</v>
      </c>
      <c r="C86" s="31" t="s">
        <v>558</v>
      </c>
      <c r="D86" s="27" t="s">
        <v>76</v>
      </c>
      <c r="E86" s="28">
        <v>1</v>
      </c>
      <c r="F86" s="147">
        <v>230</v>
      </c>
      <c r="G86" s="147">
        <v>230</v>
      </c>
      <c r="H86" s="35" t="s">
        <v>397</v>
      </c>
    </row>
    <row r="87" spans="1:8" ht="15" customHeight="1" x14ac:dyDescent="0.25">
      <c r="A87" s="93"/>
      <c r="B87" s="96"/>
      <c r="C87" s="31" t="s">
        <v>570</v>
      </c>
      <c r="D87" s="27" t="s">
        <v>7</v>
      </c>
      <c r="E87" s="28">
        <v>3</v>
      </c>
      <c r="F87" s="147">
        <v>46.81</v>
      </c>
      <c r="G87" s="147">
        <v>140.43</v>
      </c>
      <c r="H87" s="35"/>
    </row>
    <row r="88" spans="1:8" ht="15" customHeight="1" x14ac:dyDescent="0.25">
      <c r="A88" s="93"/>
      <c r="B88" s="96"/>
      <c r="C88" s="31" t="s">
        <v>571</v>
      </c>
      <c r="D88" s="27" t="s">
        <v>7</v>
      </c>
      <c r="E88" s="28">
        <v>1</v>
      </c>
      <c r="F88" s="147">
        <v>1389.61</v>
      </c>
      <c r="G88" s="147">
        <v>1389.61</v>
      </c>
      <c r="H88" s="35"/>
    </row>
    <row r="89" spans="1:8" ht="15" customHeight="1" x14ac:dyDescent="0.25">
      <c r="A89" s="93"/>
      <c r="B89" s="96"/>
      <c r="C89" s="31" t="s">
        <v>572</v>
      </c>
      <c r="D89" s="27" t="s">
        <v>7</v>
      </c>
      <c r="E89" s="28">
        <v>4</v>
      </c>
      <c r="F89" s="147">
        <v>139.33000000000001</v>
      </c>
      <c r="G89" s="147">
        <v>557.32000000000005</v>
      </c>
      <c r="H89" s="35"/>
    </row>
    <row r="90" spans="1:8" ht="15" customHeight="1" x14ac:dyDescent="0.25">
      <c r="A90" s="93"/>
      <c r="B90" s="96"/>
      <c r="C90" s="31" t="s">
        <v>573</v>
      </c>
      <c r="D90" s="27" t="s">
        <v>7</v>
      </c>
      <c r="E90" s="28">
        <v>15</v>
      </c>
      <c r="F90" s="147">
        <v>70.430000000000007</v>
      </c>
      <c r="G90" s="147">
        <v>1056.45</v>
      </c>
      <c r="H90" s="35"/>
    </row>
    <row r="91" spans="1:8" ht="15" customHeight="1" x14ac:dyDescent="0.25">
      <c r="A91" s="93"/>
      <c r="B91" s="96"/>
      <c r="C91" s="31" t="s">
        <v>574</v>
      </c>
      <c r="D91" s="27" t="s">
        <v>7</v>
      </c>
      <c r="E91" s="28">
        <v>3</v>
      </c>
      <c r="F91" s="147">
        <v>1358.23</v>
      </c>
      <c r="G91" s="147">
        <v>4074.69</v>
      </c>
      <c r="H91" s="35"/>
    </row>
    <row r="92" spans="1:8" ht="15" customHeight="1" x14ac:dyDescent="0.25">
      <c r="A92" s="93"/>
      <c r="B92" s="96"/>
      <c r="C92" s="57" t="s">
        <v>575</v>
      </c>
      <c r="D92" s="26" t="s">
        <v>13</v>
      </c>
      <c r="E92" s="34">
        <v>3</v>
      </c>
      <c r="F92" s="35">
        <v>350.52</v>
      </c>
      <c r="G92" s="35">
        <v>1051.56</v>
      </c>
      <c r="H92" s="35"/>
    </row>
    <row r="93" spans="1:8" x14ac:dyDescent="0.25">
      <c r="A93" s="93"/>
      <c r="B93" s="96"/>
      <c r="C93" s="57" t="s">
        <v>576</v>
      </c>
      <c r="D93" s="26" t="s">
        <v>7</v>
      </c>
      <c r="E93" s="34">
        <v>2</v>
      </c>
      <c r="F93" s="35">
        <v>636.32000000000005</v>
      </c>
      <c r="G93" s="35">
        <v>1272.6400000000001</v>
      </c>
      <c r="H93" s="35"/>
    </row>
    <row r="94" spans="1:8" x14ac:dyDescent="0.25">
      <c r="A94" s="94"/>
      <c r="B94" s="97"/>
      <c r="C94" s="57" t="s">
        <v>577</v>
      </c>
      <c r="D94" s="26" t="s">
        <v>7</v>
      </c>
      <c r="E94" s="34">
        <v>2</v>
      </c>
      <c r="F94" s="35">
        <v>638.15</v>
      </c>
      <c r="G94" s="35">
        <v>1276.3</v>
      </c>
      <c r="H94" s="35"/>
    </row>
    <row r="95" spans="1:8" ht="25.5" x14ac:dyDescent="0.25">
      <c r="A95" s="40"/>
      <c r="B95" s="98"/>
      <c r="C95" s="107" t="s">
        <v>9</v>
      </c>
      <c r="D95" s="40"/>
      <c r="E95" s="41"/>
      <c r="F95" s="42"/>
      <c r="G95" s="42">
        <f>SUM(G86:G94)</f>
        <v>11048.999999999998</v>
      </c>
      <c r="H95" s="40"/>
    </row>
    <row r="96" spans="1:8" ht="15.75" x14ac:dyDescent="0.25">
      <c r="A96" s="92">
        <v>11</v>
      </c>
      <c r="B96" s="95" t="s">
        <v>69</v>
      </c>
      <c r="C96" s="31" t="s">
        <v>559</v>
      </c>
      <c r="D96" s="27" t="s">
        <v>7</v>
      </c>
      <c r="E96" s="28">
        <v>2</v>
      </c>
      <c r="F96" s="147">
        <v>750</v>
      </c>
      <c r="G96" s="147">
        <v>1500</v>
      </c>
      <c r="H96" s="35" t="s">
        <v>397</v>
      </c>
    </row>
    <row r="97" spans="1:8" x14ac:dyDescent="0.25">
      <c r="A97" s="93"/>
      <c r="B97" s="96"/>
      <c r="C97" s="175" t="s">
        <v>560</v>
      </c>
      <c r="D97" s="26" t="s">
        <v>7</v>
      </c>
      <c r="E97" s="34">
        <v>1</v>
      </c>
      <c r="F97" s="35">
        <v>2000</v>
      </c>
      <c r="G97" s="35">
        <v>2000</v>
      </c>
      <c r="H97" s="35"/>
    </row>
    <row r="98" spans="1:8" x14ac:dyDescent="0.25">
      <c r="A98" s="93"/>
      <c r="B98" s="96"/>
      <c r="C98" s="57" t="s">
        <v>561</v>
      </c>
      <c r="D98" s="26" t="s">
        <v>7</v>
      </c>
      <c r="E98" s="34">
        <v>1</v>
      </c>
      <c r="F98" s="35">
        <v>3000</v>
      </c>
      <c r="G98" s="35">
        <v>3000</v>
      </c>
      <c r="H98" s="35"/>
    </row>
    <row r="99" spans="1:8" ht="15.75" x14ac:dyDescent="0.25">
      <c r="A99" s="93"/>
      <c r="B99" s="96"/>
      <c r="C99" s="31" t="s">
        <v>570</v>
      </c>
      <c r="D99" s="27" t="s">
        <v>7</v>
      </c>
      <c r="E99" s="28">
        <v>3</v>
      </c>
      <c r="F99" s="147">
        <v>46.81</v>
      </c>
      <c r="G99" s="147">
        <v>140.43</v>
      </c>
      <c r="H99" s="35"/>
    </row>
    <row r="100" spans="1:8" ht="15.75" x14ac:dyDescent="0.25">
      <c r="A100" s="93"/>
      <c r="B100" s="96"/>
      <c r="C100" s="31" t="s">
        <v>571</v>
      </c>
      <c r="D100" s="27" t="s">
        <v>7</v>
      </c>
      <c r="E100" s="28">
        <v>1</v>
      </c>
      <c r="F100" s="147">
        <v>1389.61</v>
      </c>
      <c r="G100" s="147">
        <v>1389.61</v>
      </c>
      <c r="H100" s="35"/>
    </row>
    <row r="101" spans="1:8" ht="15.75" x14ac:dyDescent="0.25">
      <c r="A101" s="93"/>
      <c r="B101" s="96"/>
      <c r="C101" s="31" t="s">
        <v>578</v>
      </c>
      <c r="D101" s="27" t="s">
        <v>579</v>
      </c>
      <c r="E101" s="28">
        <v>1</v>
      </c>
      <c r="F101" s="147">
        <v>893.07</v>
      </c>
      <c r="G101" s="147">
        <v>893.07</v>
      </c>
      <c r="H101" s="35"/>
    </row>
    <row r="102" spans="1:8" ht="15.75" x14ac:dyDescent="0.25">
      <c r="A102" s="93"/>
      <c r="B102" s="96"/>
      <c r="C102" s="31" t="s">
        <v>572</v>
      </c>
      <c r="D102" s="27" t="s">
        <v>7</v>
      </c>
      <c r="E102" s="28">
        <v>4</v>
      </c>
      <c r="F102" s="147">
        <v>139.33000000000001</v>
      </c>
      <c r="G102" s="147">
        <v>557.32000000000005</v>
      </c>
      <c r="H102" s="35"/>
    </row>
    <row r="103" spans="1:8" ht="15.75" x14ac:dyDescent="0.25">
      <c r="A103" s="93"/>
      <c r="B103" s="96"/>
      <c r="C103" s="31" t="s">
        <v>573</v>
      </c>
      <c r="D103" s="27" t="s">
        <v>7</v>
      </c>
      <c r="E103" s="28">
        <v>15</v>
      </c>
      <c r="F103" s="147">
        <v>70.430000000000007</v>
      </c>
      <c r="G103" s="147">
        <v>1056.45</v>
      </c>
      <c r="H103" s="35"/>
    </row>
    <row r="104" spans="1:8" ht="15.75" x14ac:dyDescent="0.25">
      <c r="A104" s="93"/>
      <c r="B104" s="96"/>
      <c r="C104" s="31" t="s">
        <v>574</v>
      </c>
      <c r="D104" s="27" t="s">
        <v>7</v>
      </c>
      <c r="E104" s="28">
        <v>3</v>
      </c>
      <c r="F104" s="147">
        <v>1358.23</v>
      </c>
      <c r="G104" s="147">
        <v>4074.69</v>
      </c>
      <c r="H104" s="35"/>
    </row>
    <row r="105" spans="1:8" x14ac:dyDescent="0.25">
      <c r="A105" s="93"/>
      <c r="B105" s="96"/>
      <c r="C105" s="57" t="s">
        <v>575</v>
      </c>
      <c r="D105" s="26" t="s">
        <v>13</v>
      </c>
      <c r="E105" s="34">
        <v>5</v>
      </c>
      <c r="F105" s="35">
        <v>350.52</v>
      </c>
      <c r="G105" s="35">
        <v>1752.6</v>
      </c>
      <c r="H105" s="35"/>
    </row>
    <row r="106" spans="1:8" x14ac:dyDescent="0.25">
      <c r="A106" s="93"/>
      <c r="B106" s="96"/>
      <c r="C106" s="57" t="s">
        <v>576</v>
      </c>
      <c r="D106" s="26" t="s">
        <v>7</v>
      </c>
      <c r="E106" s="34">
        <v>4</v>
      </c>
      <c r="F106" s="35">
        <v>636.32000000000005</v>
      </c>
      <c r="G106" s="35">
        <v>2545.2800000000002</v>
      </c>
      <c r="H106" s="35"/>
    </row>
    <row r="107" spans="1:8" x14ac:dyDescent="0.25">
      <c r="A107" s="94"/>
      <c r="B107" s="97"/>
      <c r="C107" s="57" t="s">
        <v>577</v>
      </c>
      <c r="D107" s="26" t="s">
        <v>7</v>
      </c>
      <c r="E107" s="34">
        <v>4</v>
      </c>
      <c r="F107" s="35">
        <v>638.15</v>
      </c>
      <c r="G107" s="35">
        <v>2552.6</v>
      </c>
      <c r="H107" s="35"/>
    </row>
    <row r="108" spans="1:8" ht="25.5" x14ac:dyDescent="0.25">
      <c r="A108" s="40"/>
      <c r="B108" s="98"/>
      <c r="C108" s="107" t="s">
        <v>9</v>
      </c>
      <c r="D108" s="40"/>
      <c r="E108" s="41"/>
      <c r="F108" s="42"/>
      <c r="G108" s="42">
        <f>SUM(G96:G107)</f>
        <v>21462.05</v>
      </c>
      <c r="H108" s="40"/>
    </row>
    <row r="109" spans="1:8" ht="30" x14ac:dyDescent="0.25">
      <c r="A109" s="82">
        <v>12</v>
      </c>
      <c r="B109" s="178" t="s">
        <v>91</v>
      </c>
      <c r="C109" s="175" t="s">
        <v>555</v>
      </c>
      <c r="D109" s="26" t="s">
        <v>7</v>
      </c>
      <c r="E109" s="34">
        <v>1</v>
      </c>
      <c r="F109" s="35">
        <v>113811</v>
      </c>
      <c r="G109" s="35">
        <v>113811</v>
      </c>
      <c r="H109" s="26" t="s">
        <v>398</v>
      </c>
    </row>
    <row r="110" spans="1:8" ht="15.75" x14ac:dyDescent="0.25">
      <c r="A110" s="87"/>
      <c r="B110" s="179"/>
      <c r="C110" s="31" t="s">
        <v>570</v>
      </c>
      <c r="D110" s="27" t="s">
        <v>7</v>
      </c>
      <c r="E110" s="28">
        <v>2</v>
      </c>
      <c r="F110" s="147">
        <v>46.81</v>
      </c>
      <c r="G110" s="147">
        <v>93.62</v>
      </c>
      <c r="H110" s="26"/>
    </row>
    <row r="111" spans="1:8" ht="15.75" x14ac:dyDescent="0.25">
      <c r="A111" s="87"/>
      <c r="B111" s="179"/>
      <c r="C111" s="31" t="s">
        <v>571</v>
      </c>
      <c r="D111" s="27" t="s">
        <v>7</v>
      </c>
      <c r="E111" s="28">
        <v>1</v>
      </c>
      <c r="F111" s="147">
        <v>1389.61</v>
      </c>
      <c r="G111" s="147">
        <v>1389.61</v>
      </c>
      <c r="H111" s="26"/>
    </row>
    <row r="112" spans="1:8" ht="15.75" x14ac:dyDescent="0.25">
      <c r="A112" s="87"/>
      <c r="B112" s="179"/>
      <c r="C112" s="31" t="s">
        <v>572</v>
      </c>
      <c r="D112" s="27" t="s">
        <v>7</v>
      </c>
      <c r="E112" s="28">
        <v>4</v>
      </c>
      <c r="F112" s="147">
        <v>139.33000000000001</v>
      </c>
      <c r="G112" s="147">
        <v>557.32000000000005</v>
      </c>
      <c r="H112" s="26"/>
    </row>
    <row r="113" spans="1:8" ht="15.75" x14ac:dyDescent="0.25">
      <c r="A113" s="87"/>
      <c r="B113" s="179"/>
      <c r="C113" s="31" t="s">
        <v>573</v>
      </c>
      <c r="D113" s="27" t="s">
        <v>7</v>
      </c>
      <c r="E113" s="28">
        <v>15</v>
      </c>
      <c r="F113" s="147">
        <v>70.430000000000007</v>
      </c>
      <c r="G113" s="147">
        <v>1056.45</v>
      </c>
      <c r="H113" s="26"/>
    </row>
    <row r="114" spans="1:8" ht="15.75" x14ac:dyDescent="0.25">
      <c r="A114" s="87"/>
      <c r="B114" s="179"/>
      <c r="C114" s="31" t="s">
        <v>574</v>
      </c>
      <c r="D114" s="27" t="s">
        <v>7</v>
      </c>
      <c r="E114" s="28">
        <v>2</v>
      </c>
      <c r="F114" s="147">
        <v>1358.23</v>
      </c>
      <c r="G114" s="147">
        <v>2716.46</v>
      </c>
      <c r="H114" s="26"/>
    </row>
    <row r="115" spans="1:8" x14ac:dyDescent="0.25">
      <c r="A115" s="87"/>
      <c r="B115" s="179"/>
      <c r="C115" s="57" t="s">
        <v>576</v>
      </c>
      <c r="D115" s="26" t="s">
        <v>7</v>
      </c>
      <c r="E115" s="34">
        <v>4</v>
      </c>
      <c r="F115" s="35">
        <v>636.32000000000005</v>
      </c>
      <c r="G115" s="35">
        <v>2545.2800000000002</v>
      </c>
      <c r="H115" s="26"/>
    </row>
    <row r="116" spans="1:8" x14ac:dyDescent="0.25">
      <c r="A116" s="83"/>
      <c r="B116" s="180"/>
      <c r="C116" s="57" t="s">
        <v>577</v>
      </c>
      <c r="D116" s="26" t="s">
        <v>7</v>
      </c>
      <c r="E116" s="34">
        <v>4</v>
      </c>
      <c r="F116" s="35">
        <v>638.15</v>
      </c>
      <c r="G116" s="35">
        <v>2552.6</v>
      </c>
      <c r="H116" s="26"/>
    </row>
    <row r="117" spans="1:8" ht="25.5" x14ac:dyDescent="0.25">
      <c r="A117" s="40"/>
      <c r="B117" s="98"/>
      <c r="C117" s="107" t="s">
        <v>9</v>
      </c>
      <c r="D117" s="40"/>
      <c r="E117" s="41"/>
      <c r="F117" s="42"/>
      <c r="G117" s="42">
        <f>SUM(G109:H116)</f>
        <v>124722.34000000001</v>
      </c>
      <c r="H117" s="40">
        <f>SUM(H109:H109)</f>
        <v>0</v>
      </c>
    </row>
    <row r="118" spans="1:8" ht="15.75" x14ac:dyDescent="0.25">
      <c r="A118" s="92">
        <v>13</v>
      </c>
      <c r="B118" s="95" t="s">
        <v>35</v>
      </c>
      <c r="C118" s="31" t="s">
        <v>532</v>
      </c>
      <c r="D118" s="27" t="s">
        <v>7</v>
      </c>
      <c r="E118" s="28">
        <v>12</v>
      </c>
      <c r="F118" s="147">
        <v>1665</v>
      </c>
      <c r="G118" s="147">
        <v>19980</v>
      </c>
      <c r="H118" s="35" t="s">
        <v>397</v>
      </c>
    </row>
    <row r="119" spans="1:8" ht="15.75" x14ac:dyDescent="0.25">
      <c r="A119" s="93"/>
      <c r="B119" s="96"/>
      <c r="C119" s="31" t="s">
        <v>562</v>
      </c>
      <c r="D119" s="27" t="s">
        <v>76</v>
      </c>
      <c r="E119" s="28">
        <v>1</v>
      </c>
      <c r="F119" s="147">
        <v>210</v>
      </c>
      <c r="G119" s="147">
        <v>210</v>
      </c>
      <c r="H119" s="35" t="s">
        <v>397</v>
      </c>
    </row>
    <row r="120" spans="1:8" ht="15.75" x14ac:dyDescent="0.25">
      <c r="A120" s="93"/>
      <c r="B120" s="96"/>
      <c r="C120" s="31" t="s">
        <v>570</v>
      </c>
      <c r="D120" s="27" t="s">
        <v>7</v>
      </c>
      <c r="E120" s="28">
        <v>3</v>
      </c>
      <c r="F120" s="147">
        <v>46.81</v>
      </c>
      <c r="G120" s="147">
        <v>140.43</v>
      </c>
      <c r="H120" s="35"/>
    </row>
    <row r="121" spans="1:8" ht="15.75" x14ac:dyDescent="0.25">
      <c r="A121" s="93"/>
      <c r="B121" s="96"/>
      <c r="C121" s="31" t="s">
        <v>571</v>
      </c>
      <c r="D121" s="27" t="s">
        <v>7</v>
      </c>
      <c r="E121" s="28">
        <v>1</v>
      </c>
      <c r="F121" s="147">
        <v>1389.61</v>
      </c>
      <c r="G121" s="147">
        <v>1389.61</v>
      </c>
      <c r="H121" s="35"/>
    </row>
    <row r="122" spans="1:8" ht="15.75" x14ac:dyDescent="0.25">
      <c r="A122" s="93"/>
      <c r="B122" s="96"/>
      <c r="C122" s="31" t="s">
        <v>578</v>
      </c>
      <c r="D122" s="27" t="s">
        <v>579</v>
      </c>
      <c r="E122" s="28">
        <v>1</v>
      </c>
      <c r="F122" s="147">
        <v>893.07</v>
      </c>
      <c r="G122" s="147">
        <v>893.07</v>
      </c>
      <c r="H122" s="35"/>
    </row>
    <row r="123" spans="1:8" ht="15.75" x14ac:dyDescent="0.25">
      <c r="A123" s="93"/>
      <c r="B123" s="96"/>
      <c r="C123" s="31" t="s">
        <v>572</v>
      </c>
      <c r="D123" s="27" t="s">
        <v>7</v>
      </c>
      <c r="E123" s="28">
        <v>4</v>
      </c>
      <c r="F123" s="147">
        <v>139.33000000000001</v>
      </c>
      <c r="G123" s="147">
        <v>557.32000000000005</v>
      </c>
      <c r="H123" s="35"/>
    </row>
    <row r="124" spans="1:8" ht="15.75" x14ac:dyDescent="0.25">
      <c r="A124" s="93"/>
      <c r="B124" s="96"/>
      <c r="C124" s="31" t="s">
        <v>574</v>
      </c>
      <c r="D124" s="27" t="s">
        <v>7</v>
      </c>
      <c r="E124" s="28">
        <v>1</v>
      </c>
      <c r="F124" s="147">
        <v>1165.8399999999999</v>
      </c>
      <c r="G124" s="147">
        <v>1165.8399999999999</v>
      </c>
      <c r="H124" s="35"/>
    </row>
    <row r="125" spans="1:8" ht="15.75" x14ac:dyDescent="0.25">
      <c r="A125" s="93"/>
      <c r="B125" s="96"/>
      <c r="C125" s="31" t="s">
        <v>573</v>
      </c>
      <c r="D125" s="27" t="s">
        <v>7</v>
      </c>
      <c r="E125" s="28">
        <v>15</v>
      </c>
      <c r="F125" s="147">
        <v>70.430000000000007</v>
      </c>
      <c r="G125" s="147">
        <v>1056.45</v>
      </c>
      <c r="H125" s="35"/>
    </row>
    <row r="126" spans="1:8" ht="15.75" x14ac:dyDescent="0.25">
      <c r="A126" s="93"/>
      <c r="B126" s="96"/>
      <c r="C126" s="31" t="s">
        <v>574</v>
      </c>
      <c r="D126" s="27" t="s">
        <v>7</v>
      </c>
      <c r="E126" s="28">
        <v>3</v>
      </c>
      <c r="F126" s="147">
        <v>1358.23</v>
      </c>
      <c r="G126" s="147">
        <v>4074.69</v>
      </c>
      <c r="H126" s="35"/>
    </row>
    <row r="127" spans="1:8" x14ac:dyDescent="0.25">
      <c r="A127" s="93"/>
      <c r="B127" s="96"/>
      <c r="C127" s="57" t="s">
        <v>575</v>
      </c>
      <c r="D127" s="26" t="s">
        <v>13</v>
      </c>
      <c r="E127" s="34">
        <v>5</v>
      </c>
      <c r="F127" s="35">
        <v>350.52</v>
      </c>
      <c r="G127" s="35">
        <v>1752.6</v>
      </c>
      <c r="H127" s="35"/>
    </row>
    <row r="128" spans="1:8" x14ac:dyDescent="0.25">
      <c r="A128" s="93"/>
      <c r="B128" s="96"/>
      <c r="C128" s="57" t="s">
        <v>576</v>
      </c>
      <c r="D128" s="26" t="s">
        <v>7</v>
      </c>
      <c r="E128" s="34">
        <v>9</v>
      </c>
      <c r="F128" s="35">
        <v>636.32000000000005</v>
      </c>
      <c r="G128" s="35">
        <v>5726.88</v>
      </c>
      <c r="H128" s="35"/>
    </row>
    <row r="129" spans="1:8" x14ac:dyDescent="0.25">
      <c r="A129" s="94"/>
      <c r="B129" s="97"/>
      <c r="C129" s="57" t="s">
        <v>577</v>
      </c>
      <c r="D129" s="26" t="s">
        <v>7</v>
      </c>
      <c r="E129" s="34">
        <v>9</v>
      </c>
      <c r="F129" s="35">
        <v>638.15</v>
      </c>
      <c r="G129" s="35">
        <v>5743.35</v>
      </c>
      <c r="H129" s="35"/>
    </row>
    <row r="130" spans="1:8" ht="25.5" x14ac:dyDescent="0.25">
      <c r="A130" s="40"/>
      <c r="B130" s="98"/>
      <c r="C130" s="107" t="s">
        <v>9</v>
      </c>
      <c r="D130" s="40"/>
      <c r="E130" s="41"/>
      <c r="F130" s="42"/>
      <c r="G130" s="42">
        <f>SUM(G118:H129)</f>
        <v>42690.239999999998</v>
      </c>
      <c r="H130" s="40"/>
    </row>
    <row r="131" spans="1:8" x14ac:dyDescent="0.25">
      <c r="A131" s="82">
        <v>14</v>
      </c>
      <c r="B131" s="88" t="s">
        <v>36</v>
      </c>
      <c r="C131" s="57" t="s">
        <v>563</v>
      </c>
      <c r="D131" s="26" t="s">
        <v>7</v>
      </c>
      <c r="E131" s="34">
        <v>1</v>
      </c>
      <c r="F131" s="35">
        <v>400</v>
      </c>
      <c r="G131" s="35">
        <v>400</v>
      </c>
      <c r="H131" s="35" t="s">
        <v>397</v>
      </c>
    </row>
    <row r="132" spans="1:8" ht="15.75" x14ac:dyDescent="0.25">
      <c r="A132" s="87"/>
      <c r="B132" s="89"/>
      <c r="C132" s="31" t="s">
        <v>570</v>
      </c>
      <c r="D132" s="27" t="s">
        <v>7</v>
      </c>
      <c r="E132" s="28">
        <v>2</v>
      </c>
      <c r="F132" s="147">
        <v>46.81</v>
      </c>
      <c r="G132" s="147">
        <v>93.62</v>
      </c>
      <c r="H132" s="35"/>
    </row>
    <row r="133" spans="1:8" ht="15.75" x14ac:dyDescent="0.25">
      <c r="A133" s="87"/>
      <c r="B133" s="89"/>
      <c r="C133" s="31" t="s">
        <v>571</v>
      </c>
      <c r="D133" s="27" t="s">
        <v>7</v>
      </c>
      <c r="E133" s="28">
        <v>1</v>
      </c>
      <c r="F133" s="147">
        <v>1389.61</v>
      </c>
      <c r="G133" s="147">
        <v>1389.61</v>
      </c>
      <c r="H133" s="35"/>
    </row>
    <row r="134" spans="1:8" ht="15.75" x14ac:dyDescent="0.25">
      <c r="A134" s="87"/>
      <c r="B134" s="89"/>
      <c r="C134" s="31" t="s">
        <v>572</v>
      </c>
      <c r="D134" s="27" t="s">
        <v>7</v>
      </c>
      <c r="E134" s="28">
        <v>4</v>
      </c>
      <c r="F134" s="147">
        <v>139.33000000000001</v>
      </c>
      <c r="G134" s="147">
        <v>557.32000000000005</v>
      </c>
      <c r="H134" s="35"/>
    </row>
    <row r="135" spans="1:8" ht="15.75" x14ac:dyDescent="0.25">
      <c r="A135" s="87"/>
      <c r="B135" s="89"/>
      <c r="C135" s="31" t="s">
        <v>573</v>
      </c>
      <c r="D135" s="27" t="s">
        <v>7</v>
      </c>
      <c r="E135" s="28">
        <v>8</v>
      </c>
      <c r="F135" s="147">
        <v>70.430000000000007</v>
      </c>
      <c r="G135" s="147">
        <v>563.44000000000005</v>
      </c>
      <c r="H135" s="35"/>
    </row>
    <row r="136" spans="1:8" ht="15.75" x14ac:dyDescent="0.25">
      <c r="A136" s="87"/>
      <c r="B136" s="89"/>
      <c r="C136" s="31" t="s">
        <v>574</v>
      </c>
      <c r="D136" s="27" t="s">
        <v>7</v>
      </c>
      <c r="E136" s="28">
        <v>2</v>
      </c>
      <c r="F136" s="147">
        <v>1358.23</v>
      </c>
      <c r="G136" s="147">
        <v>2716.46</v>
      </c>
      <c r="H136" s="35"/>
    </row>
    <row r="137" spans="1:8" x14ac:dyDescent="0.25">
      <c r="A137" s="87"/>
      <c r="B137" s="89"/>
      <c r="C137" s="57" t="s">
        <v>575</v>
      </c>
      <c r="D137" s="26" t="s">
        <v>13</v>
      </c>
      <c r="E137" s="34">
        <v>3</v>
      </c>
      <c r="F137" s="35">
        <v>350.52</v>
      </c>
      <c r="G137" s="35">
        <v>1051.56</v>
      </c>
      <c r="H137" s="35"/>
    </row>
    <row r="138" spans="1:8" x14ac:dyDescent="0.25">
      <c r="A138" s="87"/>
      <c r="B138" s="89"/>
      <c r="C138" s="57" t="s">
        <v>576</v>
      </c>
      <c r="D138" s="26" t="s">
        <v>7</v>
      </c>
      <c r="E138" s="34">
        <v>5</v>
      </c>
      <c r="F138" s="35">
        <v>636.32000000000005</v>
      </c>
      <c r="G138" s="35">
        <v>3181.6</v>
      </c>
      <c r="H138" s="35"/>
    </row>
    <row r="139" spans="1:8" x14ac:dyDescent="0.25">
      <c r="A139" s="83"/>
      <c r="B139" s="90"/>
      <c r="C139" s="57" t="s">
        <v>577</v>
      </c>
      <c r="D139" s="26" t="s">
        <v>7</v>
      </c>
      <c r="E139" s="34">
        <v>5</v>
      </c>
      <c r="F139" s="35">
        <v>638.15</v>
      </c>
      <c r="G139" s="35">
        <v>3190.75</v>
      </c>
      <c r="H139" s="35"/>
    </row>
    <row r="140" spans="1:8" ht="25.5" x14ac:dyDescent="0.25">
      <c r="A140" s="40"/>
      <c r="B140" s="98"/>
      <c r="C140" s="107" t="s">
        <v>9</v>
      </c>
      <c r="D140" s="40"/>
      <c r="E140" s="41"/>
      <c r="F140" s="42"/>
      <c r="G140" s="42">
        <f>SUM(G131:G139)</f>
        <v>13144.36</v>
      </c>
      <c r="H140" s="40">
        <f>SUM(H131:H131)</f>
        <v>0</v>
      </c>
    </row>
    <row r="141" spans="1:8" x14ac:dyDescent="0.25">
      <c r="A141" s="92">
        <v>15</v>
      </c>
      <c r="B141" s="95" t="s">
        <v>37</v>
      </c>
      <c r="C141" s="57" t="s">
        <v>565</v>
      </c>
      <c r="D141" s="26" t="s">
        <v>7</v>
      </c>
      <c r="E141" s="34">
        <v>5</v>
      </c>
      <c r="F141" s="35">
        <v>39</v>
      </c>
      <c r="G141" s="35">
        <v>195</v>
      </c>
      <c r="H141" s="35" t="s">
        <v>397</v>
      </c>
    </row>
    <row r="142" spans="1:8" x14ac:dyDescent="0.25">
      <c r="A142" s="93"/>
      <c r="B142" s="96"/>
      <c r="C142" s="57" t="s">
        <v>566</v>
      </c>
      <c r="D142" s="26" t="s">
        <v>7</v>
      </c>
      <c r="E142" s="34">
        <v>2</v>
      </c>
      <c r="F142" s="35">
        <v>74</v>
      </c>
      <c r="G142" s="35">
        <v>148</v>
      </c>
      <c r="H142" s="35"/>
    </row>
    <row r="143" spans="1:8" x14ac:dyDescent="0.25">
      <c r="A143" s="93"/>
      <c r="B143" s="96"/>
      <c r="C143" s="57" t="s">
        <v>567</v>
      </c>
      <c r="D143" s="26" t="s">
        <v>76</v>
      </c>
      <c r="E143" s="34">
        <v>1.1000000000000001</v>
      </c>
      <c r="F143" s="35">
        <v>3.7</v>
      </c>
      <c r="G143" s="35">
        <v>4.07</v>
      </c>
      <c r="H143" s="35"/>
    </row>
    <row r="144" spans="1:8" ht="15.75" x14ac:dyDescent="0.25">
      <c r="A144" s="93"/>
      <c r="B144" s="96"/>
      <c r="C144" s="31" t="s">
        <v>570</v>
      </c>
      <c r="D144" s="27" t="s">
        <v>7</v>
      </c>
      <c r="E144" s="28">
        <v>3</v>
      </c>
      <c r="F144" s="147">
        <v>46.81</v>
      </c>
      <c r="G144" s="147">
        <v>140.43</v>
      </c>
      <c r="H144" s="35"/>
    </row>
    <row r="145" spans="1:8" ht="15.75" x14ac:dyDescent="0.25">
      <c r="A145" s="93"/>
      <c r="B145" s="96"/>
      <c r="C145" s="31" t="s">
        <v>571</v>
      </c>
      <c r="D145" s="27" t="s">
        <v>7</v>
      </c>
      <c r="E145" s="28">
        <v>1</v>
      </c>
      <c r="F145" s="147">
        <v>1389.61</v>
      </c>
      <c r="G145" s="147">
        <v>1389.61</v>
      </c>
      <c r="H145" s="35"/>
    </row>
    <row r="146" spans="1:8" ht="15.75" x14ac:dyDescent="0.25">
      <c r="A146" s="93"/>
      <c r="B146" s="96"/>
      <c r="C146" s="31" t="s">
        <v>572</v>
      </c>
      <c r="D146" s="27" t="s">
        <v>7</v>
      </c>
      <c r="E146" s="28">
        <v>4</v>
      </c>
      <c r="F146" s="147">
        <v>139.33000000000001</v>
      </c>
      <c r="G146" s="147">
        <v>557.32000000000005</v>
      </c>
      <c r="H146" s="35"/>
    </row>
    <row r="147" spans="1:8" ht="15.75" x14ac:dyDescent="0.25">
      <c r="A147" s="93"/>
      <c r="B147" s="96"/>
      <c r="C147" s="31" t="s">
        <v>573</v>
      </c>
      <c r="D147" s="27" t="s">
        <v>7</v>
      </c>
      <c r="E147" s="28">
        <v>8</v>
      </c>
      <c r="F147" s="147">
        <v>70.430000000000007</v>
      </c>
      <c r="G147" s="147">
        <v>563.44000000000005</v>
      </c>
      <c r="H147" s="35"/>
    </row>
    <row r="148" spans="1:8" ht="15.75" x14ac:dyDescent="0.25">
      <c r="A148" s="93"/>
      <c r="B148" s="96"/>
      <c r="C148" s="31" t="s">
        <v>574</v>
      </c>
      <c r="D148" s="27" t="s">
        <v>7</v>
      </c>
      <c r="E148" s="28">
        <v>3</v>
      </c>
      <c r="F148" s="147">
        <v>1358.23</v>
      </c>
      <c r="G148" s="147">
        <v>4074.69</v>
      </c>
      <c r="H148" s="35"/>
    </row>
    <row r="149" spans="1:8" x14ac:dyDescent="0.25">
      <c r="A149" s="93"/>
      <c r="B149" s="96"/>
      <c r="C149" s="57" t="s">
        <v>575</v>
      </c>
      <c r="D149" s="26" t="s">
        <v>13</v>
      </c>
      <c r="E149" s="34">
        <v>5</v>
      </c>
      <c r="F149" s="35">
        <v>350.52</v>
      </c>
      <c r="G149" s="35">
        <v>1752.6</v>
      </c>
      <c r="H149" s="35"/>
    </row>
    <row r="150" spans="1:8" x14ac:dyDescent="0.25">
      <c r="A150" s="93"/>
      <c r="B150" s="96"/>
      <c r="C150" s="57" t="s">
        <v>576</v>
      </c>
      <c r="D150" s="26" t="s">
        <v>7</v>
      </c>
      <c r="E150" s="34">
        <v>21</v>
      </c>
      <c r="F150" s="35">
        <v>636.32000000000005</v>
      </c>
      <c r="G150" s="35">
        <v>13362.72</v>
      </c>
      <c r="H150" s="35"/>
    </row>
    <row r="151" spans="1:8" x14ac:dyDescent="0.25">
      <c r="A151" s="94"/>
      <c r="B151" s="97"/>
      <c r="C151" s="57" t="s">
        <v>577</v>
      </c>
      <c r="D151" s="26" t="s">
        <v>7</v>
      </c>
      <c r="E151" s="34">
        <v>21</v>
      </c>
      <c r="F151" s="35">
        <v>638.15</v>
      </c>
      <c r="G151" s="35">
        <v>13401.15</v>
      </c>
      <c r="H151" s="35"/>
    </row>
    <row r="152" spans="1:8" ht="25.5" x14ac:dyDescent="0.25">
      <c r="A152" s="40"/>
      <c r="B152" s="98"/>
      <c r="C152" s="107" t="s">
        <v>9</v>
      </c>
      <c r="D152" s="40"/>
      <c r="E152" s="41"/>
      <c r="F152" s="42"/>
      <c r="G152" s="42">
        <f>SUM(G141:G151)</f>
        <v>35589.03</v>
      </c>
      <c r="H152" s="40">
        <f>SUM(H141:H141)</f>
        <v>0</v>
      </c>
    </row>
    <row r="153" spans="1:8" ht="30" x14ac:dyDescent="0.25">
      <c r="A153" s="82">
        <v>16</v>
      </c>
      <c r="B153" s="88" t="s">
        <v>38</v>
      </c>
      <c r="C153" s="175" t="s">
        <v>555</v>
      </c>
      <c r="D153" s="26" t="s">
        <v>7</v>
      </c>
      <c r="E153" s="34">
        <v>1</v>
      </c>
      <c r="F153" s="35">
        <v>113811</v>
      </c>
      <c r="G153" s="35">
        <v>113811</v>
      </c>
      <c r="H153" s="35" t="s">
        <v>397</v>
      </c>
    </row>
    <row r="154" spans="1:8" ht="15.75" x14ac:dyDescent="0.25">
      <c r="A154" s="87"/>
      <c r="B154" s="89"/>
      <c r="C154" s="31" t="s">
        <v>570</v>
      </c>
      <c r="D154" s="27" t="s">
        <v>7</v>
      </c>
      <c r="E154" s="28">
        <v>3</v>
      </c>
      <c r="F154" s="147">
        <v>46.81</v>
      </c>
      <c r="G154" s="147">
        <v>140.43</v>
      </c>
      <c r="H154" s="35" t="s">
        <v>398</v>
      </c>
    </row>
    <row r="155" spans="1:8" ht="15.75" x14ac:dyDescent="0.25">
      <c r="A155" s="87"/>
      <c r="B155" s="89"/>
      <c r="C155" s="31" t="s">
        <v>571</v>
      </c>
      <c r="D155" s="27" t="s">
        <v>7</v>
      </c>
      <c r="E155" s="28">
        <v>1</v>
      </c>
      <c r="F155" s="147">
        <v>1389.61</v>
      </c>
      <c r="G155" s="147">
        <v>1389.61</v>
      </c>
      <c r="H155" s="35" t="s">
        <v>398</v>
      </c>
    </row>
    <row r="156" spans="1:8" ht="15.75" x14ac:dyDescent="0.25">
      <c r="A156" s="87"/>
      <c r="B156" s="89"/>
      <c r="C156" s="31" t="s">
        <v>572</v>
      </c>
      <c r="D156" s="27" t="s">
        <v>7</v>
      </c>
      <c r="E156" s="28">
        <v>4</v>
      </c>
      <c r="F156" s="147">
        <v>139.33000000000001</v>
      </c>
      <c r="G156" s="147">
        <v>557.32000000000005</v>
      </c>
      <c r="H156" s="35"/>
    </row>
    <row r="157" spans="1:8" ht="15.75" x14ac:dyDescent="0.25">
      <c r="A157" s="87"/>
      <c r="B157" s="89"/>
      <c r="C157" s="31" t="s">
        <v>573</v>
      </c>
      <c r="D157" s="27" t="s">
        <v>7</v>
      </c>
      <c r="E157" s="28">
        <v>15</v>
      </c>
      <c r="F157" s="147">
        <v>70.430000000000007</v>
      </c>
      <c r="G157" s="147">
        <v>1056.45</v>
      </c>
      <c r="H157" s="35"/>
    </row>
    <row r="158" spans="1:8" ht="15.75" x14ac:dyDescent="0.25">
      <c r="A158" s="87"/>
      <c r="B158" s="89"/>
      <c r="C158" s="31" t="s">
        <v>574</v>
      </c>
      <c r="D158" s="27" t="s">
        <v>7</v>
      </c>
      <c r="E158" s="28">
        <v>3</v>
      </c>
      <c r="F158" s="147">
        <v>1358.23</v>
      </c>
      <c r="G158" s="147">
        <v>4074.69</v>
      </c>
      <c r="H158" s="35"/>
    </row>
    <row r="159" spans="1:8" x14ac:dyDescent="0.25">
      <c r="A159" s="83"/>
      <c r="B159" s="90"/>
      <c r="C159" s="57" t="s">
        <v>575</v>
      </c>
      <c r="D159" s="26" t="s">
        <v>13</v>
      </c>
      <c r="E159" s="34">
        <v>3</v>
      </c>
      <c r="F159" s="35">
        <v>350.52</v>
      </c>
      <c r="G159" s="35">
        <v>1051.56</v>
      </c>
      <c r="H159" s="35"/>
    </row>
    <row r="160" spans="1:8" ht="25.5" x14ac:dyDescent="0.25">
      <c r="A160" s="40"/>
      <c r="B160" s="98"/>
      <c r="C160" s="107" t="s">
        <v>9</v>
      </c>
      <c r="D160" s="40"/>
      <c r="E160" s="41"/>
      <c r="F160" s="42"/>
      <c r="G160" s="42">
        <f>SUM(G153:G159)</f>
        <v>122081.06</v>
      </c>
      <c r="H160" s="40">
        <f>SUM(H153:H155)</f>
        <v>0</v>
      </c>
    </row>
    <row r="161" spans="1:8" ht="15.75" x14ac:dyDescent="0.25">
      <c r="A161" s="92">
        <v>17</v>
      </c>
      <c r="B161" s="95" t="s">
        <v>44</v>
      </c>
      <c r="C161" s="31" t="s">
        <v>570</v>
      </c>
      <c r="D161" s="27" t="s">
        <v>7</v>
      </c>
      <c r="E161" s="28">
        <v>3</v>
      </c>
      <c r="F161" s="147">
        <v>46.81</v>
      </c>
      <c r="G161" s="147">
        <v>140.43</v>
      </c>
      <c r="H161" s="35" t="s">
        <v>397</v>
      </c>
    </row>
    <row r="162" spans="1:8" ht="15.75" x14ac:dyDescent="0.25">
      <c r="A162" s="93"/>
      <c r="B162" s="96"/>
      <c r="C162" s="31" t="s">
        <v>571</v>
      </c>
      <c r="D162" s="27" t="s">
        <v>7</v>
      </c>
      <c r="E162" s="28">
        <v>1</v>
      </c>
      <c r="F162" s="147">
        <v>1389.61</v>
      </c>
      <c r="G162" s="147">
        <v>1389.61</v>
      </c>
      <c r="H162" s="35"/>
    </row>
    <row r="163" spans="1:8" ht="15.75" x14ac:dyDescent="0.25">
      <c r="A163" s="93"/>
      <c r="B163" s="96"/>
      <c r="C163" s="31" t="s">
        <v>572</v>
      </c>
      <c r="D163" s="27" t="s">
        <v>7</v>
      </c>
      <c r="E163" s="28">
        <v>4</v>
      </c>
      <c r="F163" s="147">
        <v>139.33000000000001</v>
      </c>
      <c r="G163" s="147">
        <v>557.32000000000005</v>
      </c>
      <c r="H163" s="35"/>
    </row>
    <row r="164" spans="1:8" ht="15.75" x14ac:dyDescent="0.25">
      <c r="A164" s="93"/>
      <c r="B164" s="96"/>
      <c r="C164" s="31" t="s">
        <v>573</v>
      </c>
      <c r="D164" s="27" t="s">
        <v>7</v>
      </c>
      <c r="E164" s="28">
        <v>15</v>
      </c>
      <c r="F164" s="147">
        <v>70.430000000000007</v>
      </c>
      <c r="G164" s="147">
        <v>1056.45</v>
      </c>
      <c r="H164" s="35"/>
    </row>
    <row r="165" spans="1:8" ht="15.75" x14ac:dyDescent="0.25">
      <c r="A165" s="93"/>
      <c r="B165" s="96"/>
      <c r="C165" s="31" t="s">
        <v>574</v>
      </c>
      <c r="D165" s="27" t="s">
        <v>7</v>
      </c>
      <c r="E165" s="28">
        <v>3</v>
      </c>
      <c r="F165" s="147">
        <v>1358.23</v>
      </c>
      <c r="G165" s="147">
        <v>4074.69</v>
      </c>
      <c r="H165" s="35"/>
    </row>
    <row r="166" spans="1:8" x14ac:dyDescent="0.25">
      <c r="A166" s="94"/>
      <c r="B166" s="97"/>
      <c r="C166" s="57" t="s">
        <v>575</v>
      </c>
      <c r="D166" s="26" t="s">
        <v>13</v>
      </c>
      <c r="E166" s="34">
        <v>3</v>
      </c>
      <c r="F166" s="35">
        <v>350.52</v>
      </c>
      <c r="G166" s="35">
        <v>1051.56</v>
      </c>
      <c r="H166" s="35"/>
    </row>
    <row r="167" spans="1:8" ht="25.5" x14ac:dyDescent="0.25">
      <c r="A167" s="40"/>
      <c r="B167" s="98"/>
      <c r="C167" s="107"/>
      <c r="D167" s="40"/>
      <c r="E167" s="41"/>
      <c r="F167" s="42"/>
      <c r="G167" s="42">
        <f>SUM(G161:G166)</f>
        <v>8270.06</v>
      </c>
      <c r="H167" s="40"/>
    </row>
    <row r="168" spans="1:8" s="44" customFormat="1" ht="15.75" x14ac:dyDescent="0.25">
      <c r="A168" s="92">
        <v>18</v>
      </c>
      <c r="B168" s="95" t="s">
        <v>141</v>
      </c>
      <c r="C168" s="31" t="s">
        <v>570</v>
      </c>
      <c r="D168" s="27" t="s">
        <v>7</v>
      </c>
      <c r="E168" s="28">
        <v>3</v>
      </c>
      <c r="F168" s="147">
        <v>46.81</v>
      </c>
      <c r="G168" s="147">
        <v>140.43</v>
      </c>
      <c r="H168" s="35" t="s">
        <v>397</v>
      </c>
    </row>
    <row r="169" spans="1:8" s="44" customFormat="1" ht="15.75" x14ac:dyDescent="0.25">
      <c r="A169" s="93"/>
      <c r="B169" s="96"/>
      <c r="C169" s="31" t="s">
        <v>571</v>
      </c>
      <c r="D169" s="27" t="s">
        <v>7</v>
      </c>
      <c r="E169" s="28">
        <v>1</v>
      </c>
      <c r="F169" s="147">
        <v>1389.61</v>
      </c>
      <c r="G169" s="147">
        <v>1389.61</v>
      </c>
      <c r="H169" s="35"/>
    </row>
    <row r="170" spans="1:8" s="44" customFormat="1" ht="15.75" x14ac:dyDescent="0.25">
      <c r="A170" s="93"/>
      <c r="B170" s="96"/>
      <c r="C170" s="31" t="s">
        <v>572</v>
      </c>
      <c r="D170" s="27" t="s">
        <v>7</v>
      </c>
      <c r="E170" s="28">
        <v>4</v>
      </c>
      <c r="F170" s="147">
        <v>139.33000000000001</v>
      </c>
      <c r="G170" s="147">
        <v>557.32000000000005</v>
      </c>
      <c r="H170" s="35"/>
    </row>
    <row r="171" spans="1:8" s="44" customFormat="1" ht="15.75" x14ac:dyDescent="0.25">
      <c r="A171" s="93"/>
      <c r="B171" s="96"/>
      <c r="C171" s="31" t="s">
        <v>573</v>
      </c>
      <c r="D171" s="27" t="s">
        <v>7</v>
      </c>
      <c r="E171" s="28">
        <v>15</v>
      </c>
      <c r="F171" s="147">
        <v>70.430000000000007</v>
      </c>
      <c r="G171" s="147">
        <v>1056.45</v>
      </c>
      <c r="H171" s="35"/>
    </row>
    <row r="172" spans="1:8" s="44" customFormat="1" ht="15.75" x14ac:dyDescent="0.25">
      <c r="A172" s="93"/>
      <c r="B172" s="96"/>
      <c r="C172" s="31" t="s">
        <v>574</v>
      </c>
      <c r="D172" s="27" t="s">
        <v>7</v>
      </c>
      <c r="E172" s="28">
        <v>3</v>
      </c>
      <c r="F172" s="147">
        <v>1358.23</v>
      </c>
      <c r="G172" s="147">
        <v>4074.69</v>
      </c>
      <c r="H172" s="35"/>
    </row>
    <row r="173" spans="1:8" s="44" customFormat="1" x14ac:dyDescent="0.25">
      <c r="A173" s="93"/>
      <c r="B173" s="96"/>
      <c r="C173" s="57" t="s">
        <v>575</v>
      </c>
      <c r="D173" s="26" t="s">
        <v>13</v>
      </c>
      <c r="E173" s="34">
        <v>5</v>
      </c>
      <c r="F173" s="35">
        <v>350.52</v>
      </c>
      <c r="G173" s="35">
        <v>1752.6</v>
      </c>
      <c r="H173" s="35"/>
    </row>
    <row r="174" spans="1:8" s="44" customFormat="1" x14ac:dyDescent="0.25">
      <c r="A174" s="93"/>
      <c r="B174" s="96"/>
      <c r="C174" s="57" t="s">
        <v>576</v>
      </c>
      <c r="D174" s="26" t="s">
        <v>7</v>
      </c>
      <c r="E174" s="34">
        <v>5</v>
      </c>
      <c r="F174" s="35">
        <v>636.32000000000005</v>
      </c>
      <c r="G174" s="35">
        <v>3181.6</v>
      </c>
      <c r="H174" s="35"/>
    </row>
    <row r="175" spans="1:8" s="44" customFormat="1" x14ac:dyDescent="0.25">
      <c r="A175" s="94"/>
      <c r="B175" s="97"/>
      <c r="C175" s="57" t="s">
        <v>577</v>
      </c>
      <c r="D175" s="26" t="s">
        <v>7</v>
      </c>
      <c r="E175" s="34">
        <v>5</v>
      </c>
      <c r="F175" s="35">
        <v>638.15</v>
      </c>
      <c r="G175" s="35">
        <v>3190.75</v>
      </c>
      <c r="H175" s="35"/>
    </row>
    <row r="176" spans="1:8" ht="25.5" x14ac:dyDescent="0.25">
      <c r="A176" s="40"/>
      <c r="B176" s="98"/>
      <c r="C176" s="107"/>
      <c r="D176" s="40"/>
      <c r="E176" s="41"/>
      <c r="F176" s="42"/>
      <c r="G176" s="42">
        <f>SUM(G168:H175)</f>
        <v>15343.45</v>
      </c>
      <c r="H176" s="40"/>
    </row>
    <row r="177" spans="1:8" ht="15.75" x14ac:dyDescent="0.25">
      <c r="A177" s="82">
        <v>19</v>
      </c>
      <c r="B177" s="88" t="s">
        <v>40</v>
      </c>
      <c r="C177" s="31" t="s">
        <v>570</v>
      </c>
      <c r="D177" s="27" t="s">
        <v>7</v>
      </c>
      <c r="E177" s="28">
        <v>3</v>
      </c>
      <c r="F177" s="147">
        <v>46.81</v>
      </c>
      <c r="G177" s="147">
        <v>140.43</v>
      </c>
      <c r="H177" s="26"/>
    </row>
    <row r="178" spans="1:8" ht="15.75" x14ac:dyDescent="0.25">
      <c r="A178" s="87"/>
      <c r="B178" s="89"/>
      <c r="C178" s="31" t="s">
        <v>571</v>
      </c>
      <c r="D178" s="27" t="s">
        <v>7</v>
      </c>
      <c r="E178" s="28">
        <v>1</v>
      </c>
      <c r="F178" s="147">
        <v>1389.61</v>
      </c>
      <c r="G178" s="147">
        <v>1389.61</v>
      </c>
      <c r="H178" s="26"/>
    </row>
    <row r="179" spans="1:8" ht="15.75" x14ac:dyDescent="0.25">
      <c r="A179" s="87"/>
      <c r="B179" s="89"/>
      <c r="C179" s="31" t="s">
        <v>572</v>
      </c>
      <c r="D179" s="27" t="s">
        <v>7</v>
      </c>
      <c r="E179" s="28">
        <v>4</v>
      </c>
      <c r="F179" s="147">
        <v>139.33000000000001</v>
      </c>
      <c r="G179" s="147">
        <v>557.32000000000005</v>
      </c>
      <c r="H179" s="26"/>
    </row>
    <row r="180" spans="1:8" ht="15.75" x14ac:dyDescent="0.25">
      <c r="A180" s="87"/>
      <c r="B180" s="89"/>
      <c r="C180" s="31" t="s">
        <v>573</v>
      </c>
      <c r="D180" s="27" t="s">
        <v>7</v>
      </c>
      <c r="E180" s="28">
        <v>8</v>
      </c>
      <c r="F180" s="147">
        <v>70.430000000000007</v>
      </c>
      <c r="G180" s="147">
        <v>563.44000000000005</v>
      </c>
      <c r="H180" s="26"/>
    </row>
    <row r="181" spans="1:8" ht="15.75" x14ac:dyDescent="0.25">
      <c r="A181" s="87"/>
      <c r="B181" s="89"/>
      <c r="C181" s="31" t="s">
        <v>574</v>
      </c>
      <c r="D181" s="27" t="s">
        <v>7</v>
      </c>
      <c r="E181" s="28">
        <v>3</v>
      </c>
      <c r="F181" s="147">
        <v>1358.23</v>
      </c>
      <c r="G181" s="147">
        <v>4074.69</v>
      </c>
      <c r="H181" s="26"/>
    </row>
    <row r="182" spans="1:8" x14ac:dyDescent="0.25">
      <c r="A182" s="83"/>
      <c r="B182" s="90"/>
      <c r="C182" s="57" t="s">
        <v>575</v>
      </c>
      <c r="D182" s="26" t="s">
        <v>13</v>
      </c>
      <c r="E182" s="34">
        <v>2</v>
      </c>
      <c r="F182" s="35">
        <v>350.52</v>
      </c>
      <c r="G182" s="35">
        <v>701.04</v>
      </c>
      <c r="H182" s="26"/>
    </row>
    <row r="183" spans="1:8" ht="25.5" x14ac:dyDescent="0.25">
      <c r="A183" s="40"/>
      <c r="B183" s="98"/>
      <c r="C183" s="107"/>
      <c r="D183" s="40"/>
      <c r="E183" s="41"/>
      <c r="F183" s="42"/>
      <c r="G183" s="42">
        <f>SUM(G177:G182)</f>
        <v>7426.53</v>
      </c>
      <c r="H183" s="40">
        <f>SUM(H177:H177)</f>
        <v>0</v>
      </c>
    </row>
    <row r="184" spans="1:8" ht="15.75" x14ac:dyDescent="0.25">
      <c r="A184" s="92">
        <v>20</v>
      </c>
      <c r="B184" s="95" t="s">
        <v>41</v>
      </c>
      <c r="C184" s="31" t="s">
        <v>562</v>
      </c>
      <c r="D184" s="27" t="s">
        <v>76</v>
      </c>
      <c r="E184" s="28">
        <v>0.4</v>
      </c>
      <c r="F184" s="147">
        <v>181</v>
      </c>
      <c r="G184" s="147">
        <v>72.400000000000006</v>
      </c>
      <c r="H184" s="35" t="s">
        <v>397</v>
      </c>
    </row>
    <row r="185" spans="1:8" ht="15.75" x14ac:dyDescent="0.25">
      <c r="A185" s="93"/>
      <c r="B185" s="96"/>
      <c r="C185" s="31" t="s">
        <v>570</v>
      </c>
      <c r="D185" s="27" t="s">
        <v>7</v>
      </c>
      <c r="E185" s="28">
        <v>3</v>
      </c>
      <c r="F185" s="147">
        <v>46.81</v>
      </c>
      <c r="G185" s="147">
        <v>140.43</v>
      </c>
      <c r="H185" s="35"/>
    </row>
    <row r="186" spans="1:8" ht="15.75" x14ac:dyDescent="0.25">
      <c r="A186" s="93"/>
      <c r="B186" s="96"/>
      <c r="C186" s="31" t="s">
        <v>571</v>
      </c>
      <c r="D186" s="27" t="s">
        <v>7</v>
      </c>
      <c r="E186" s="28">
        <v>1</v>
      </c>
      <c r="F186" s="147">
        <v>1389.61</v>
      </c>
      <c r="G186" s="147">
        <v>1389.61</v>
      </c>
      <c r="H186" s="35"/>
    </row>
    <row r="187" spans="1:8" ht="15.75" x14ac:dyDescent="0.25">
      <c r="A187" s="93"/>
      <c r="B187" s="96"/>
      <c r="C187" s="31" t="s">
        <v>572</v>
      </c>
      <c r="D187" s="27" t="s">
        <v>7</v>
      </c>
      <c r="E187" s="28">
        <v>4</v>
      </c>
      <c r="F187" s="147">
        <v>139.33000000000001</v>
      </c>
      <c r="G187" s="147">
        <v>557.32000000000005</v>
      </c>
      <c r="H187" s="35"/>
    </row>
    <row r="188" spans="1:8" ht="15.75" x14ac:dyDescent="0.25">
      <c r="A188" s="93"/>
      <c r="B188" s="96"/>
      <c r="C188" s="31" t="s">
        <v>573</v>
      </c>
      <c r="D188" s="27" t="s">
        <v>7</v>
      </c>
      <c r="E188" s="28">
        <v>10</v>
      </c>
      <c r="F188" s="147">
        <v>70.430000000000007</v>
      </c>
      <c r="G188" s="147">
        <v>704.3</v>
      </c>
      <c r="H188" s="35"/>
    </row>
    <row r="189" spans="1:8" ht="15.75" x14ac:dyDescent="0.25">
      <c r="A189" s="93"/>
      <c r="B189" s="96"/>
      <c r="C189" s="31" t="s">
        <v>574</v>
      </c>
      <c r="D189" s="27" t="s">
        <v>7</v>
      </c>
      <c r="E189" s="28">
        <v>3</v>
      </c>
      <c r="F189" s="147">
        <v>1358.23</v>
      </c>
      <c r="G189" s="147">
        <v>4074.69</v>
      </c>
      <c r="H189" s="35"/>
    </row>
    <row r="190" spans="1:8" x14ac:dyDescent="0.25">
      <c r="A190" s="93"/>
      <c r="B190" s="96"/>
      <c r="C190" s="57" t="s">
        <v>576</v>
      </c>
      <c r="D190" s="26" t="s">
        <v>7</v>
      </c>
      <c r="E190" s="34">
        <v>3</v>
      </c>
      <c r="F190" s="35">
        <v>636.32000000000005</v>
      </c>
      <c r="G190" s="35">
        <v>1908.96</v>
      </c>
      <c r="H190" s="35"/>
    </row>
    <row r="191" spans="1:8" x14ac:dyDescent="0.25">
      <c r="A191" s="94"/>
      <c r="B191" s="97"/>
      <c r="C191" s="57" t="s">
        <v>577</v>
      </c>
      <c r="D191" s="26" t="s">
        <v>7</v>
      </c>
      <c r="E191" s="34">
        <v>3</v>
      </c>
      <c r="F191" s="35">
        <v>638.15</v>
      </c>
      <c r="G191" s="35">
        <v>1914.45</v>
      </c>
      <c r="H191" s="35"/>
    </row>
    <row r="192" spans="1:8" ht="25.5" x14ac:dyDescent="0.25">
      <c r="A192" s="40"/>
      <c r="B192" s="98"/>
      <c r="C192" s="107" t="s">
        <v>9</v>
      </c>
      <c r="D192" s="40"/>
      <c r="E192" s="41"/>
      <c r="F192" s="42"/>
      <c r="G192" s="42">
        <f>SUM(G184:H191)</f>
        <v>10762.16</v>
      </c>
      <c r="H192" s="40">
        <f>SUM(H184:H184)</f>
        <v>0</v>
      </c>
    </row>
    <row r="193" spans="1:8" ht="15.75" x14ac:dyDescent="0.25">
      <c r="A193" s="92">
        <v>21</v>
      </c>
      <c r="B193" s="95" t="s">
        <v>70</v>
      </c>
      <c r="C193" s="31" t="s">
        <v>570</v>
      </c>
      <c r="D193" s="27" t="s">
        <v>7</v>
      </c>
      <c r="E193" s="28">
        <v>3</v>
      </c>
      <c r="F193" s="147">
        <v>46.81</v>
      </c>
      <c r="G193" s="147">
        <v>140.43</v>
      </c>
      <c r="H193" s="35" t="s">
        <v>397</v>
      </c>
    </row>
    <row r="194" spans="1:8" ht="15.75" x14ac:dyDescent="0.25">
      <c r="A194" s="93"/>
      <c r="B194" s="96"/>
      <c r="C194" s="31" t="s">
        <v>571</v>
      </c>
      <c r="D194" s="27" t="s">
        <v>7</v>
      </c>
      <c r="E194" s="28">
        <v>1</v>
      </c>
      <c r="F194" s="147">
        <v>1389.61</v>
      </c>
      <c r="G194" s="147">
        <v>1389.61</v>
      </c>
      <c r="H194" s="35"/>
    </row>
    <row r="195" spans="1:8" ht="15.75" x14ac:dyDescent="0.25">
      <c r="A195" s="93"/>
      <c r="B195" s="96"/>
      <c r="C195" s="31" t="s">
        <v>572</v>
      </c>
      <c r="D195" s="27" t="s">
        <v>7</v>
      </c>
      <c r="E195" s="28">
        <v>4</v>
      </c>
      <c r="F195" s="147">
        <v>139.33000000000001</v>
      </c>
      <c r="G195" s="147">
        <v>557.32000000000005</v>
      </c>
      <c r="H195" s="35"/>
    </row>
    <row r="196" spans="1:8" ht="15.75" x14ac:dyDescent="0.25">
      <c r="A196" s="93"/>
      <c r="B196" s="96"/>
      <c r="C196" s="31" t="s">
        <v>578</v>
      </c>
      <c r="D196" s="27" t="s">
        <v>579</v>
      </c>
      <c r="E196" s="28">
        <v>1</v>
      </c>
      <c r="F196" s="147">
        <v>893.07</v>
      </c>
      <c r="G196" s="147">
        <v>893.07</v>
      </c>
      <c r="H196" s="35"/>
    </row>
    <row r="197" spans="1:8" ht="15.75" x14ac:dyDescent="0.25">
      <c r="A197" s="93"/>
      <c r="B197" s="96"/>
      <c r="C197" s="31" t="s">
        <v>574</v>
      </c>
      <c r="D197" s="27" t="s">
        <v>7</v>
      </c>
      <c r="E197" s="28">
        <v>1</v>
      </c>
      <c r="F197" s="147">
        <v>1165.8399999999999</v>
      </c>
      <c r="G197" s="147">
        <v>1165.8399999999999</v>
      </c>
      <c r="H197" s="35"/>
    </row>
    <row r="198" spans="1:8" ht="15.75" x14ac:dyDescent="0.25">
      <c r="A198" s="93"/>
      <c r="B198" s="96"/>
      <c r="C198" s="31" t="s">
        <v>573</v>
      </c>
      <c r="D198" s="27" t="s">
        <v>7</v>
      </c>
      <c r="E198" s="28">
        <v>15</v>
      </c>
      <c r="F198" s="147">
        <v>70.430000000000007</v>
      </c>
      <c r="G198" s="147">
        <v>1056.45</v>
      </c>
      <c r="H198" s="35"/>
    </row>
    <row r="199" spans="1:8" ht="15.75" x14ac:dyDescent="0.25">
      <c r="A199" s="93"/>
      <c r="B199" s="96"/>
      <c r="C199" s="31" t="s">
        <v>574</v>
      </c>
      <c r="D199" s="27" t="s">
        <v>7</v>
      </c>
      <c r="E199" s="28">
        <v>3</v>
      </c>
      <c r="F199" s="147">
        <v>1358.23</v>
      </c>
      <c r="G199" s="147">
        <v>4074.69</v>
      </c>
      <c r="H199" s="35"/>
    </row>
    <row r="200" spans="1:8" x14ac:dyDescent="0.25">
      <c r="A200" s="93"/>
      <c r="B200" s="96"/>
      <c r="C200" s="57" t="s">
        <v>575</v>
      </c>
      <c r="D200" s="26" t="s">
        <v>13</v>
      </c>
      <c r="E200" s="34">
        <v>5</v>
      </c>
      <c r="F200" s="35">
        <v>350.52</v>
      </c>
      <c r="G200" s="35">
        <v>1752.6</v>
      </c>
      <c r="H200" s="35"/>
    </row>
    <row r="201" spans="1:8" x14ac:dyDescent="0.25">
      <c r="A201" s="93"/>
      <c r="B201" s="96"/>
      <c r="C201" s="57" t="s">
        <v>576</v>
      </c>
      <c r="D201" s="26" t="s">
        <v>7</v>
      </c>
      <c r="E201" s="34">
        <v>3</v>
      </c>
      <c r="F201" s="35">
        <v>636.32000000000005</v>
      </c>
      <c r="G201" s="35">
        <v>1908.96</v>
      </c>
      <c r="H201" s="35"/>
    </row>
    <row r="202" spans="1:8" x14ac:dyDescent="0.25">
      <c r="A202" s="94"/>
      <c r="B202" s="97"/>
      <c r="C202" s="57" t="s">
        <v>577</v>
      </c>
      <c r="D202" s="26" t="s">
        <v>7</v>
      </c>
      <c r="E202" s="34">
        <v>3</v>
      </c>
      <c r="F202" s="35">
        <v>638.15</v>
      </c>
      <c r="G202" s="35">
        <v>1914.45</v>
      </c>
      <c r="H202" s="35"/>
    </row>
    <row r="203" spans="1:8" ht="25.5" x14ac:dyDescent="0.25">
      <c r="A203" s="40"/>
      <c r="B203" s="98"/>
      <c r="C203" s="107" t="s">
        <v>9</v>
      </c>
      <c r="D203" s="40"/>
      <c r="E203" s="41"/>
      <c r="F203" s="42"/>
      <c r="G203" s="42">
        <f>SUM(G193:G202)</f>
        <v>14853.420000000002</v>
      </c>
      <c r="H203" s="40">
        <f>SUM(H193:H202)</f>
        <v>0</v>
      </c>
    </row>
    <row r="204" spans="1:8" ht="30" x14ac:dyDescent="0.25">
      <c r="A204" s="82">
        <v>22</v>
      </c>
      <c r="B204" s="88" t="s">
        <v>42</v>
      </c>
      <c r="C204" s="175" t="s">
        <v>555</v>
      </c>
      <c r="D204" s="26" t="s">
        <v>7</v>
      </c>
      <c r="E204" s="34">
        <v>1</v>
      </c>
      <c r="F204" s="35">
        <v>113811</v>
      </c>
      <c r="G204" s="35">
        <v>113811</v>
      </c>
      <c r="H204" s="35" t="s">
        <v>397</v>
      </c>
    </row>
    <row r="205" spans="1:8" ht="15.75" x14ac:dyDescent="0.25">
      <c r="A205" s="87"/>
      <c r="B205" s="89"/>
      <c r="C205" s="31" t="s">
        <v>564</v>
      </c>
      <c r="D205" s="27" t="s">
        <v>76</v>
      </c>
      <c r="E205" s="28">
        <v>4</v>
      </c>
      <c r="F205" s="147">
        <v>190</v>
      </c>
      <c r="G205" s="147">
        <v>760</v>
      </c>
      <c r="H205" s="35" t="s">
        <v>397</v>
      </c>
    </row>
    <row r="206" spans="1:8" ht="15.75" x14ac:dyDescent="0.25">
      <c r="A206" s="87"/>
      <c r="B206" s="89"/>
      <c r="C206" s="31" t="s">
        <v>570</v>
      </c>
      <c r="D206" s="27" t="s">
        <v>7</v>
      </c>
      <c r="E206" s="28">
        <v>2</v>
      </c>
      <c r="F206" s="147">
        <v>46.81</v>
      </c>
      <c r="G206" s="147">
        <v>93.62</v>
      </c>
      <c r="H206" s="35" t="s">
        <v>397</v>
      </c>
    </row>
    <row r="207" spans="1:8" ht="15.75" x14ac:dyDescent="0.25">
      <c r="A207" s="87"/>
      <c r="B207" s="89"/>
      <c r="C207" s="31" t="s">
        <v>571</v>
      </c>
      <c r="D207" s="27" t="s">
        <v>7</v>
      </c>
      <c r="E207" s="28">
        <v>1</v>
      </c>
      <c r="F207" s="147">
        <v>1389.61</v>
      </c>
      <c r="G207" s="147">
        <v>1389.61</v>
      </c>
      <c r="H207" s="35" t="s">
        <v>397</v>
      </c>
    </row>
    <row r="208" spans="1:8" ht="15.75" x14ac:dyDescent="0.25">
      <c r="A208" s="87"/>
      <c r="B208" s="89"/>
      <c r="C208" s="31" t="s">
        <v>572</v>
      </c>
      <c r="D208" s="27" t="s">
        <v>7</v>
      </c>
      <c r="E208" s="28">
        <v>4</v>
      </c>
      <c r="F208" s="147">
        <v>139.33000000000001</v>
      </c>
      <c r="G208" s="147">
        <v>557.32000000000005</v>
      </c>
      <c r="H208" s="35" t="s">
        <v>397</v>
      </c>
    </row>
    <row r="209" spans="1:8" ht="15.75" x14ac:dyDescent="0.25">
      <c r="A209" s="87"/>
      <c r="B209" s="89"/>
      <c r="C209" s="31" t="s">
        <v>573</v>
      </c>
      <c r="D209" s="27" t="s">
        <v>7</v>
      </c>
      <c r="E209" s="28">
        <v>8</v>
      </c>
      <c r="F209" s="147">
        <v>70.430000000000007</v>
      </c>
      <c r="G209" s="147">
        <v>563.44000000000005</v>
      </c>
      <c r="H209" s="35" t="s">
        <v>397</v>
      </c>
    </row>
    <row r="210" spans="1:8" ht="15.75" x14ac:dyDescent="0.25">
      <c r="A210" s="87"/>
      <c r="B210" s="89"/>
      <c r="C210" s="31" t="s">
        <v>574</v>
      </c>
      <c r="D210" s="27" t="s">
        <v>7</v>
      </c>
      <c r="E210" s="28">
        <v>3</v>
      </c>
      <c r="F210" s="147">
        <v>1358.23</v>
      </c>
      <c r="G210" s="147">
        <v>4074.69</v>
      </c>
      <c r="H210" s="35"/>
    </row>
    <row r="211" spans="1:8" x14ac:dyDescent="0.25">
      <c r="A211" s="87"/>
      <c r="B211" s="89"/>
      <c r="C211" s="57" t="s">
        <v>576</v>
      </c>
      <c r="D211" s="26" t="s">
        <v>7</v>
      </c>
      <c r="E211" s="34">
        <v>3</v>
      </c>
      <c r="F211" s="35">
        <v>636.32000000000005</v>
      </c>
      <c r="G211" s="35">
        <f>1908.96</f>
        <v>1908.96</v>
      </c>
      <c r="H211" s="35"/>
    </row>
    <row r="212" spans="1:8" x14ac:dyDescent="0.25">
      <c r="A212" s="83"/>
      <c r="B212" s="90"/>
      <c r="C212" s="57" t="s">
        <v>577</v>
      </c>
      <c r="D212" s="26" t="s">
        <v>7</v>
      </c>
      <c r="E212" s="34">
        <v>3</v>
      </c>
      <c r="F212" s="35">
        <v>638.15</v>
      </c>
      <c r="G212" s="35">
        <f>1914.45</f>
        <v>1914.45</v>
      </c>
      <c r="H212" s="35"/>
    </row>
    <row r="213" spans="1:8" ht="25.5" hidden="1" x14ac:dyDescent="0.25">
      <c r="A213" s="26"/>
      <c r="B213" s="99"/>
      <c r="C213" s="171"/>
      <c r="D213" s="26"/>
      <c r="E213" s="34"/>
      <c r="F213" s="35"/>
      <c r="G213" s="35"/>
      <c r="H213" s="35"/>
    </row>
    <row r="214" spans="1:8" ht="25.5" hidden="1" x14ac:dyDescent="0.25">
      <c r="A214" s="26"/>
      <c r="B214" s="99"/>
      <c r="C214" s="171"/>
      <c r="D214" s="26"/>
      <c r="E214" s="34"/>
      <c r="F214" s="35"/>
      <c r="G214" s="35"/>
      <c r="H214" s="35"/>
    </row>
    <row r="215" spans="1:8" ht="25.5" hidden="1" x14ac:dyDescent="0.25">
      <c r="A215" s="26"/>
      <c r="B215" s="99"/>
      <c r="C215" s="171"/>
      <c r="D215" s="26"/>
      <c r="E215" s="34"/>
      <c r="F215" s="35"/>
      <c r="G215" s="35"/>
      <c r="H215" s="35"/>
    </row>
    <row r="216" spans="1:8" ht="25.5" x14ac:dyDescent="0.25">
      <c r="A216" s="40"/>
      <c r="B216" s="98"/>
      <c r="C216" s="107" t="s">
        <v>9</v>
      </c>
      <c r="D216" s="40"/>
      <c r="E216" s="41"/>
      <c r="F216" s="42"/>
      <c r="G216" s="42">
        <f>SUM(G204:G212)</f>
        <v>125073.09000000001</v>
      </c>
      <c r="H216" s="40">
        <f>SUM(H204:H209)</f>
        <v>0</v>
      </c>
    </row>
    <row r="217" spans="1:8" ht="25.5" hidden="1" x14ac:dyDescent="0.25">
      <c r="A217" s="43"/>
      <c r="B217" s="91"/>
      <c r="C217" s="171"/>
      <c r="D217" s="26"/>
      <c r="E217" s="34"/>
      <c r="F217" s="35"/>
      <c r="G217" s="35"/>
      <c r="H217" s="35" t="s">
        <v>397</v>
      </c>
    </row>
    <row r="218" spans="1:8" ht="25.5" hidden="1" x14ac:dyDescent="0.25">
      <c r="A218" s="43"/>
      <c r="B218" s="91"/>
      <c r="C218" s="57"/>
      <c r="D218" s="26"/>
      <c r="E218" s="34"/>
      <c r="F218" s="35"/>
      <c r="G218" s="35"/>
      <c r="H218" s="35" t="s">
        <v>397</v>
      </c>
    </row>
    <row r="219" spans="1:8" ht="25.5" hidden="1" x14ac:dyDescent="0.25">
      <c r="A219" s="43"/>
      <c r="B219" s="91"/>
      <c r="C219" s="112"/>
      <c r="D219" s="26"/>
      <c r="E219" s="34"/>
      <c r="F219" s="35"/>
      <c r="G219" s="35"/>
      <c r="H219" s="35" t="s">
        <v>397</v>
      </c>
    </row>
    <row r="220" spans="1:8" ht="25.5" hidden="1" x14ac:dyDescent="0.25">
      <c r="A220" s="40"/>
      <c r="B220" s="98"/>
      <c r="C220" s="107" t="s">
        <v>9</v>
      </c>
      <c r="D220" s="40"/>
      <c r="E220" s="41"/>
      <c r="F220" s="42"/>
      <c r="G220" s="42">
        <f>SUM(G217:G219)</f>
        <v>0</v>
      </c>
      <c r="H220" s="40"/>
    </row>
    <row r="221" spans="1:8" ht="19.5" customHeight="1" x14ac:dyDescent="0.25">
      <c r="A221" s="92">
        <v>23</v>
      </c>
      <c r="B221" s="95" t="s">
        <v>43</v>
      </c>
      <c r="C221" s="31" t="s">
        <v>532</v>
      </c>
      <c r="D221" s="27" t="s">
        <v>7</v>
      </c>
      <c r="E221" s="28">
        <v>8</v>
      </c>
      <c r="F221" s="147">
        <v>1665</v>
      </c>
      <c r="G221" s="147">
        <v>13320</v>
      </c>
      <c r="H221" s="40"/>
    </row>
    <row r="222" spans="1:8" ht="15.75" x14ac:dyDescent="0.25">
      <c r="A222" s="93"/>
      <c r="B222" s="96"/>
      <c r="C222" s="31" t="s">
        <v>570</v>
      </c>
      <c r="D222" s="27" t="s">
        <v>7</v>
      </c>
      <c r="E222" s="28">
        <v>3</v>
      </c>
      <c r="F222" s="147">
        <v>46.81</v>
      </c>
      <c r="G222" s="147">
        <v>140.43</v>
      </c>
      <c r="H222" s="40"/>
    </row>
    <row r="223" spans="1:8" ht="15.75" x14ac:dyDescent="0.25">
      <c r="A223" s="93"/>
      <c r="B223" s="96"/>
      <c r="C223" s="31" t="s">
        <v>571</v>
      </c>
      <c r="D223" s="27" t="s">
        <v>7</v>
      </c>
      <c r="E223" s="28">
        <v>1</v>
      </c>
      <c r="F223" s="147">
        <v>1389.61</v>
      </c>
      <c r="G223" s="147">
        <v>1389.61</v>
      </c>
      <c r="H223" s="40"/>
    </row>
    <row r="224" spans="1:8" ht="15.75" x14ac:dyDescent="0.25">
      <c r="A224" s="93"/>
      <c r="B224" s="96"/>
      <c r="C224" s="31" t="s">
        <v>572</v>
      </c>
      <c r="D224" s="27" t="s">
        <v>7</v>
      </c>
      <c r="E224" s="28">
        <v>5</v>
      </c>
      <c r="F224" s="147">
        <v>139.33000000000001</v>
      </c>
      <c r="G224" s="147">
        <v>696.65</v>
      </c>
      <c r="H224" s="40"/>
    </row>
    <row r="225" spans="1:8" ht="15.75" x14ac:dyDescent="0.25">
      <c r="A225" s="93"/>
      <c r="B225" s="96"/>
      <c r="C225" s="31" t="s">
        <v>574</v>
      </c>
      <c r="D225" s="27" t="s">
        <v>7</v>
      </c>
      <c r="E225" s="28">
        <v>1</v>
      </c>
      <c r="F225" s="147">
        <v>1165.8399999999999</v>
      </c>
      <c r="G225" s="147">
        <v>1165.8399999999999</v>
      </c>
      <c r="H225" s="40"/>
    </row>
    <row r="226" spans="1:8" ht="15.75" x14ac:dyDescent="0.25">
      <c r="A226" s="93"/>
      <c r="B226" s="96"/>
      <c r="C226" s="31" t="s">
        <v>573</v>
      </c>
      <c r="D226" s="27" t="s">
        <v>7</v>
      </c>
      <c r="E226" s="28">
        <v>15</v>
      </c>
      <c r="F226" s="147">
        <v>70.430000000000007</v>
      </c>
      <c r="G226" s="147">
        <v>1056.45</v>
      </c>
      <c r="H226" s="40"/>
    </row>
    <row r="227" spans="1:8" ht="15.75" x14ac:dyDescent="0.25">
      <c r="A227" s="93"/>
      <c r="B227" s="96"/>
      <c r="C227" s="31" t="s">
        <v>574</v>
      </c>
      <c r="D227" s="27" t="s">
        <v>7</v>
      </c>
      <c r="E227" s="28">
        <v>3</v>
      </c>
      <c r="F227" s="147">
        <v>1358.23</v>
      </c>
      <c r="G227" s="147">
        <v>4074.69</v>
      </c>
      <c r="H227" s="40"/>
    </row>
    <row r="228" spans="1:8" x14ac:dyDescent="0.25">
      <c r="A228" s="94"/>
      <c r="B228" s="97"/>
      <c r="C228" s="57" t="s">
        <v>575</v>
      </c>
      <c r="D228" s="26" t="s">
        <v>13</v>
      </c>
      <c r="E228" s="34">
        <v>3</v>
      </c>
      <c r="F228" s="35">
        <v>350.52</v>
      </c>
      <c r="G228" s="35">
        <v>1051.56</v>
      </c>
      <c r="H228" s="40"/>
    </row>
    <row r="229" spans="1:8" hidden="1" x14ac:dyDescent="0.25">
      <c r="A229" s="43"/>
      <c r="B229" s="43"/>
      <c r="C229" s="57"/>
      <c r="D229" s="26"/>
      <c r="E229" s="34"/>
      <c r="F229" s="35"/>
      <c r="G229" s="35"/>
      <c r="H229" s="40"/>
    </row>
    <row r="230" spans="1:8" hidden="1" x14ac:dyDescent="0.25">
      <c r="A230" s="43"/>
      <c r="B230" s="43"/>
      <c r="C230" s="57"/>
      <c r="D230" s="26"/>
      <c r="E230" s="34"/>
      <c r="F230" s="35"/>
      <c r="G230" s="35"/>
      <c r="H230" s="40"/>
    </row>
    <row r="231" spans="1:8" x14ac:dyDescent="0.25">
      <c r="A231" s="40"/>
      <c r="B231" s="40"/>
      <c r="C231" s="107" t="s">
        <v>9</v>
      </c>
      <c r="D231" s="40"/>
      <c r="E231" s="41"/>
      <c r="F231" s="42"/>
      <c r="G231" s="42">
        <f>SUM(G221:G229)</f>
        <v>22895.23</v>
      </c>
      <c r="H231" s="40"/>
    </row>
    <row r="232" spans="1:8" hidden="1" x14ac:dyDescent="0.25">
      <c r="A232" s="43"/>
      <c r="B232" s="43" t="s">
        <v>552</v>
      </c>
      <c r="C232" s="57" t="s">
        <v>568</v>
      </c>
      <c r="D232" s="43" t="s">
        <v>7</v>
      </c>
      <c r="E232" s="37"/>
      <c r="F232" s="38"/>
      <c r="G232" s="38"/>
      <c r="H232" s="40"/>
    </row>
    <row r="233" spans="1:8" hidden="1" x14ac:dyDescent="0.25">
      <c r="A233" s="176"/>
      <c r="B233" s="43" t="s">
        <v>552</v>
      </c>
      <c r="C233" s="111" t="s">
        <v>569</v>
      </c>
      <c r="D233" s="43" t="s">
        <v>7</v>
      </c>
      <c r="E233" s="37"/>
      <c r="F233" s="38"/>
      <c r="G233" s="38"/>
      <c r="H233" s="40"/>
    </row>
    <row r="234" spans="1:8" hidden="1" x14ac:dyDescent="0.25">
      <c r="A234" s="176"/>
      <c r="B234" s="177"/>
      <c r="C234" s="57" t="s">
        <v>576</v>
      </c>
      <c r="D234" s="26" t="s">
        <v>7</v>
      </c>
      <c r="E234" s="34"/>
      <c r="F234" s="35"/>
      <c r="G234" s="35"/>
      <c r="H234" s="40"/>
    </row>
    <row r="235" spans="1:8" hidden="1" x14ac:dyDescent="0.25">
      <c r="A235" s="176"/>
      <c r="B235" s="177"/>
      <c r="C235" s="57" t="s">
        <v>577</v>
      </c>
      <c r="D235" s="26" t="s">
        <v>7</v>
      </c>
      <c r="E235" s="34"/>
      <c r="F235" s="35"/>
      <c r="G235" s="35"/>
      <c r="H235" s="40"/>
    </row>
    <row r="236" spans="1:8" hidden="1" x14ac:dyDescent="0.25">
      <c r="A236" s="173"/>
      <c r="B236" s="174"/>
      <c r="C236" s="107" t="s">
        <v>9</v>
      </c>
      <c r="D236" s="40"/>
      <c r="E236" s="41"/>
      <c r="F236" s="42"/>
      <c r="G236" s="42">
        <f>SUM(G232:G235)</f>
        <v>0</v>
      </c>
      <c r="H236" s="40"/>
    </row>
    <row r="237" spans="1:8" x14ac:dyDescent="0.25">
      <c r="A237" s="159" t="s">
        <v>672</v>
      </c>
      <c r="B237" s="160"/>
      <c r="C237" s="169"/>
      <c r="D237" s="45"/>
      <c r="E237" s="49"/>
      <c r="F237" s="50"/>
      <c r="G237" s="50">
        <f>G236+G231+G216+G203+G192+G183+G176+G167+G160+G152+G140+G130+G108+G95+G85+G76+G67+G58+G48+G39+G27+G17+G8+G117</f>
        <v>857730</v>
      </c>
      <c r="H237" s="45"/>
    </row>
    <row r="239" spans="1:8" x14ac:dyDescent="0.25">
      <c r="B239" s="36" t="s">
        <v>63</v>
      </c>
    </row>
  </sheetData>
  <mergeCells count="48">
    <mergeCell ref="A221:A228"/>
    <mergeCell ref="B221:B228"/>
    <mergeCell ref="A184:A191"/>
    <mergeCell ref="B184:B191"/>
    <mergeCell ref="A193:A202"/>
    <mergeCell ref="B193:B202"/>
    <mergeCell ref="A204:A212"/>
    <mergeCell ref="B204:B212"/>
    <mergeCell ref="A161:A166"/>
    <mergeCell ref="B161:B166"/>
    <mergeCell ref="A168:A175"/>
    <mergeCell ref="B168:B175"/>
    <mergeCell ref="A177:A182"/>
    <mergeCell ref="B177:B182"/>
    <mergeCell ref="A131:A139"/>
    <mergeCell ref="B131:B139"/>
    <mergeCell ref="A141:A151"/>
    <mergeCell ref="B141:B151"/>
    <mergeCell ref="A153:A159"/>
    <mergeCell ref="B153:B159"/>
    <mergeCell ref="A96:A107"/>
    <mergeCell ref="B96:B107"/>
    <mergeCell ref="A109:A116"/>
    <mergeCell ref="B109:B116"/>
    <mergeCell ref="A118:A129"/>
    <mergeCell ref="B118:B129"/>
    <mergeCell ref="A68:A75"/>
    <mergeCell ref="B68:B75"/>
    <mergeCell ref="A77:A84"/>
    <mergeCell ref="B77:B84"/>
    <mergeCell ref="A86:A94"/>
    <mergeCell ref="B86:B94"/>
    <mergeCell ref="A1:H1"/>
    <mergeCell ref="A237:B237"/>
    <mergeCell ref="A3:A7"/>
    <mergeCell ref="B3:B7"/>
    <mergeCell ref="A9:A16"/>
    <mergeCell ref="B9:B16"/>
    <mergeCell ref="A18:A26"/>
    <mergeCell ref="B18:B26"/>
    <mergeCell ref="A28:A38"/>
    <mergeCell ref="B28:B38"/>
    <mergeCell ref="A40:A47"/>
    <mergeCell ref="B40:B47"/>
    <mergeCell ref="A49:A57"/>
    <mergeCell ref="B49:B57"/>
    <mergeCell ref="A59:A66"/>
    <mergeCell ref="B59:B66"/>
  </mergeCells>
  <pageMargins left="0.7" right="0.7" top="0.75" bottom="0.75" header="0.3" footer="0.3"/>
  <pageSetup paperSize="9" scale="75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3"/>
  <sheetViews>
    <sheetView tabSelected="1" view="pageBreakPreview" zoomScaleNormal="100" zoomScaleSheetLayoutView="100" workbookViewId="0">
      <pane ySplit="2" topLeftCell="A3" activePane="bottomLeft" state="frozen"/>
      <selection pane="bottomLeft" activeCell="A2" sqref="A2"/>
    </sheetView>
  </sheetViews>
  <sheetFormatPr defaultRowHeight="15" x14ac:dyDescent="0.25"/>
  <cols>
    <col min="1" max="1" width="6.28515625" style="18" customWidth="1"/>
    <col min="2" max="2" width="26.42578125" style="1" bestFit="1" customWidth="1"/>
    <col min="3" max="3" width="43" style="1" customWidth="1"/>
    <col min="4" max="4" width="7" style="18" customWidth="1"/>
    <col min="5" max="5" width="9.140625" style="19" customWidth="1"/>
    <col min="6" max="6" width="14.7109375" style="63" customWidth="1"/>
    <col min="7" max="7" width="13.85546875" style="63" customWidth="1"/>
    <col min="8" max="8" width="22.85546875" style="1" hidden="1" customWidth="1"/>
    <col min="9" max="16384" width="9.140625" style="1"/>
  </cols>
  <sheetData>
    <row r="1" spans="1:8" ht="18.75" x14ac:dyDescent="0.3">
      <c r="A1" s="79" t="s">
        <v>648</v>
      </c>
      <c r="B1" s="79"/>
      <c r="C1" s="79"/>
      <c r="D1" s="79"/>
      <c r="E1" s="79"/>
      <c r="F1" s="79"/>
      <c r="G1" s="79"/>
      <c r="H1" s="79"/>
    </row>
    <row r="2" spans="1:8" ht="47.25" x14ac:dyDescent="0.25">
      <c r="A2" s="22" t="s">
        <v>0</v>
      </c>
      <c r="B2" s="23" t="s">
        <v>1</v>
      </c>
      <c r="C2" s="23" t="s">
        <v>2</v>
      </c>
      <c r="D2" s="22" t="s">
        <v>3</v>
      </c>
      <c r="E2" s="24" t="s">
        <v>4</v>
      </c>
      <c r="F2" s="25" t="s">
        <v>5</v>
      </c>
      <c r="G2" s="25" t="s">
        <v>6</v>
      </c>
      <c r="H2" s="20" t="s">
        <v>54</v>
      </c>
    </row>
    <row r="3" spans="1:8" ht="15.75" x14ac:dyDescent="0.25">
      <c r="A3" s="108">
        <v>1</v>
      </c>
      <c r="B3" s="88" t="s">
        <v>55</v>
      </c>
      <c r="C3" s="31" t="s">
        <v>581</v>
      </c>
      <c r="D3" s="27" t="s">
        <v>7</v>
      </c>
      <c r="E3" s="28">
        <v>49</v>
      </c>
      <c r="F3" s="33"/>
      <c r="G3" s="33">
        <v>669313.05000000005</v>
      </c>
      <c r="H3" s="20"/>
    </row>
    <row r="4" spans="1:8" ht="15.75" x14ac:dyDescent="0.25">
      <c r="A4" s="109"/>
      <c r="B4" s="89"/>
      <c r="C4" s="31" t="s">
        <v>582</v>
      </c>
      <c r="D4" s="27" t="s">
        <v>7</v>
      </c>
      <c r="E4" s="28">
        <v>6</v>
      </c>
      <c r="F4" s="33"/>
      <c r="G4" s="33">
        <f>800+600</f>
        <v>1400</v>
      </c>
      <c r="H4" s="20"/>
    </row>
    <row r="5" spans="1:8" ht="15.75" x14ac:dyDescent="0.25">
      <c r="A5" s="109"/>
      <c r="B5" s="89"/>
      <c r="C5" s="31" t="s">
        <v>583</v>
      </c>
      <c r="D5" s="27" t="s">
        <v>585</v>
      </c>
      <c r="E5" s="28">
        <v>32</v>
      </c>
      <c r="F5" s="33">
        <v>100</v>
      </c>
      <c r="G5" s="33">
        <v>3200</v>
      </c>
      <c r="H5" s="20"/>
    </row>
    <row r="6" spans="1:8" ht="15.75" x14ac:dyDescent="0.25">
      <c r="A6" s="109"/>
      <c r="B6" s="89"/>
      <c r="C6" s="31" t="s">
        <v>584</v>
      </c>
      <c r="D6" s="27" t="s">
        <v>7</v>
      </c>
      <c r="E6" s="28">
        <v>28</v>
      </c>
      <c r="F6" s="33">
        <v>10</v>
      </c>
      <c r="G6" s="33">
        <v>280</v>
      </c>
      <c r="H6" s="20"/>
    </row>
    <row r="7" spans="1:8" ht="15.75" x14ac:dyDescent="0.25">
      <c r="A7" s="109"/>
      <c r="B7" s="89"/>
      <c r="C7" s="31" t="s">
        <v>586</v>
      </c>
      <c r="D7" s="27" t="s">
        <v>7</v>
      </c>
      <c r="E7" s="28">
        <f>10+4+12+12</f>
        <v>38</v>
      </c>
      <c r="F7" s="33"/>
      <c r="G7" s="33">
        <f>100+400+1200+2160</f>
        <v>3860</v>
      </c>
      <c r="H7" s="20"/>
    </row>
    <row r="8" spans="1:8" ht="15.75" x14ac:dyDescent="0.25">
      <c r="A8" s="109"/>
      <c r="B8" s="89"/>
      <c r="C8" s="31" t="s">
        <v>587</v>
      </c>
      <c r="D8" s="27" t="s">
        <v>585</v>
      </c>
      <c r="E8" s="28">
        <v>12</v>
      </c>
      <c r="F8" s="33"/>
      <c r="G8" s="33">
        <v>120</v>
      </c>
      <c r="H8" s="20"/>
    </row>
    <row r="9" spans="1:8" ht="15.75" x14ac:dyDescent="0.25">
      <c r="A9" s="109"/>
      <c r="B9" s="89"/>
      <c r="C9" s="29" t="s">
        <v>588</v>
      </c>
      <c r="D9" s="27" t="s">
        <v>7</v>
      </c>
      <c r="E9" s="4">
        <v>4</v>
      </c>
      <c r="F9" s="32">
        <v>2000</v>
      </c>
      <c r="G9" s="32">
        <v>8000</v>
      </c>
      <c r="H9" s="5" t="s">
        <v>397</v>
      </c>
    </row>
    <row r="10" spans="1:8" ht="15.75" x14ac:dyDescent="0.25">
      <c r="A10" s="109"/>
      <c r="B10" s="89"/>
      <c r="C10" s="30" t="s">
        <v>589</v>
      </c>
      <c r="D10" s="27" t="s">
        <v>7</v>
      </c>
      <c r="E10" s="4">
        <v>4</v>
      </c>
      <c r="F10" s="32">
        <v>1000</v>
      </c>
      <c r="G10" s="32">
        <v>4000</v>
      </c>
      <c r="H10" s="2" t="s">
        <v>398</v>
      </c>
    </row>
    <row r="11" spans="1:8" ht="15.75" x14ac:dyDescent="0.25">
      <c r="A11" s="109"/>
      <c r="B11" s="89"/>
      <c r="C11" s="30" t="s">
        <v>590</v>
      </c>
      <c r="D11" s="27" t="s">
        <v>7</v>
      </c>
      <c r="E11" s="4">
        <v>4</v>
      </c>
      <c r="F11" s="32">
        <v>180</v>
      </c>
      <c r="G11" s="32">
        <v>720</v>
      </c>
      <c r="H11" s="2" t="s">
        <v>398</v>
      </c>
    </row>
    <row r="12" spans="1:8" ht="15.75" x14ac:dyDescent="0.25">
      <c r="A12" s="109"/>
      <c r="B12" s="89"/>
      <c r="C12" s="30" t="s">
        <v>591</v>
      </c>
      <c r="D12" s="27" t="s">
        <v>7</v>
      </c>
      <c r="E12" s="4">
        <v>4</v>
      </c>
      <c r="F12" s="32">
        <v>4000</v>
      </c>
      <c r="G12" s="32">
        <v>16000</v>
      </c>
      <c r="H12" s="2"/>
    </row>
    <row r="13" spans="1:8" ht="15.75" x14ac:dyDescent="0.25">
      <c r="A13" s="109"/>
      <c r="B13" s="89"/>
      <c r="C13" s="30" t="s">
        <v>592</v>
      </c>
      <c r="D13" s="27" t="s">
        <v>7</v>
      </c>
      <c r="E13" s="4">
        <v>4</v>
      </c>
      <c r="F13" s="32">
        <v>200</v>
      </c>
      <c r="G13" s="32">
        <v>800</v>
      </c>
      <c r="H13" s="2" t="s">
        <v>398</v>
      </c>
    </row>
    <row r="14" spans="1:8" ht="15.75" x14ac:dyDescent="0.25">
      <c r="A14" s="109"/>
      <c r="B14" s="89"/>
      <c r="C14" s="30" t="s">
        <v>593</v>
      </c>
      <c r="D14" s="27" t="s">
        <v>7</v>
      </c>
      <c r="E14" s="4">
        <v>4</v>
      </c>
      <c r="F14" s="32">
        <v>180</v>
      </c>
      <c r="G14" s="32">
        <v>720</v>
      </c>
      <c r="H14" s="2"/>
    </row>
    <row r="15" spans="1:8" ht="15.75" x14ac:dyDescent="0.25">
      <c r="A15" s="109"/>
      <c r="B15" s="89"/>
      <c r="C15" s="30" t="s">
        <v>594</v>
      </c>
      <c r="D15" s="27" t="s">
        <v>7</v>
      </c>
      <c r="E15" s="4">
        <v>4</v>
      </c>
      <c r="F15" s="32">
        <v>300</v>
      </c>
      <c r="G15" s="32">
        <v>1200</v>
      </c>
      <c r="H15" s="2"/>
    </row>
    <row r="16" spans="1:8" ht="15.75" x14ac:dyDescent="0.25">
      <c r="A16" s="109"/>
      <c r="B16" s="89"/>
      <c r="C16" s="30" t="s">
        <v>595</v>
      </c>
      <c r="D16" s="27" t="s">
        <v>7</v>
      </c>
      <c r="E16" s="4">
        <v>4</v>
      </c>
      <c r="F16" s="32">
        <v>400</v>
      </c>
      <c r="G16" s="32">
        <v>1600</v>
      </c>
      <c r="H16" s="2"/>
    </row>
    <row r="17" spans="1:8" ht="15.75" x14ac:dyDescent="0.25">
      <c r="A17" s="109"/>
      <c r="B17" s="89"/>
      <c r="C17" s="30" t="s">
        <v>596</v>
      </c>
      <c r="D17" s="27" t="s">
        <v>7</v>
      </c>
      <c r="E17" s="4">
        <v>4</v>
      </c>
      <c r="F17" s="32">
        <v>100</v>
      </c>
      <c r="G17" s="32">
        <v>400</v>
      </c>
      <c r="H17" s="2"/>
    </row>
    <row r="18" spans="1:8" ht="15.75" x14ac:dyDescent="0.25">
      <c r="A18" s="109"/>
      <c r="B18" s="89"/>
      <c r="C18" s="30" t="s">
        <v>597</v>
      </c>
      <c r="D18" s="27" t="s">
        <v>7</v>
      </c>
      <c r="E18" s="4">
        <v>4</v>
      </c>
      <c r="F18" s="32">
        <v>200</v>
      </c>
      <c r="G18" s="32">
        <v>800</v>
      </c>
      <c r="H18" s="2"/>
    </row>
    <row r="19" spans="1:8" ht="15.75" x14ac:dyDescent="0.25">
      <c r="A19" s="109"/>
      <c r="B19" s="89"/>
      <c r="C19" s="30" t="s">
        <v>278</v>
      </c>
      <c r="D19" s="27" t="s">
        <v>76</v>
      </c>
      <c r="E19" s="4">
        <v>60</v>
      </c>
      <c r="F19" s="32">
        <v>500</v>
      </c>
      <c r="G19" s="32">
        <v>30000</v>
      </c>
      <c r="H19" s="2"/>
    </row>
    <row r="20" spans="1:8" ht="15.75" x14ac:dyDescent="0.25">
      <c r="A20" s="109"/>
      <c r="B20" s="89"/>
      <c r="C20" s="30" t="s">
        <v>598</v>
      </c>
      <c r="D20" s="27" t="s">
        <v>7</v>
      </c>
      <c r="E20" s="4">
        <v>60</v>
      </c>
      <c r="F20" s="32">
        <v>350</v>
      </c>
      <c r="G20" s="32">
        <v>21000</v>
      </c>
      <c r="H20" s="2"/>
    </row>
    <row r="21" spans="1:8" ht="15.75" x14ac:dyDescent="0.25">
      <c r="A21" s="109"/>
      <c r="B21" s="89"/>
      <c r="C21" s="30" t="s">
        <v>599</v>
      </c>
      <c r="D21" s="27" t="s">
        <v>7</v>
      </c>
      <c r="E21" s="4">
        <v>40</v>
      </c>
      <c r="F21" s="32">
        <v>100</v>
      </c>
      <c r="G21" s="32">
        <v>4000</v>
      </c>
      <c r="H21" s="2"/>
    </row>
    <row r="22" spans="1:8" ht="15.75" x14ac:dyDescent="0.25">
      <c r="A22" s="109"/>
      <c r="B22" s="89"/>
      <c r="C22" s="30" t="s">
        <v>600</v>
      </c>
      <c r="D22" s="27" t="s">
        <v>7</v>
      </c>
      <c r="E22" s="4">
        <v>65</v>
      </c>
      <c r="F22" s="32">
        <v>250</v>
      </c>
      <c r="G22" s="32">
        <v>16250</v>
      </c>
      <c r="H22" s="2"/>
    </row>
    <row r="23" spans="1:8" ht="15.75" x14ac:dyDescent="0.25">
      <c r="A23" s="109"/>
      <c r="B23" s="89"/>
      <c r="C23" s="30" t="s">
        <v>601</v>
      </c>
      <c r="D23" s="27" t="s">
        <v>7</v>
      </c>
      <c r="E23" s="4">
        <v>3</v>
      </c>
      <c r="F23" s="32">
        <v>1000</v>
      </c>
      <c r="G23" s="32">
        <v>3000</v>
      </c>
      <c r="H23" s="2"/>
    </row>
    <row r="24" spans="1:8" ht="15.75" x14ac:dyDescent="0.25">
      <c r="A24" s="109"/>
      <c r="B24" s="89"/>
      <c r="C24" s="30" t="s">
        <v>602</v>
      </c>
      <c r="D24" s="27" t="s">
        <v>7</v>
      </c>
      <c r="E24" s="4">
        <v>20</v>
      </c>
      <c r="F24" s="32">
        <v>200</v>
      </c>
      <c r="G24" s="32">
        <v>4000</v>
      </c>
      <c r="H24" s="2"/>
    </row>
    <row r="25" spans="1:8" ht="15.75" x14ac:dyDescent="0.25">
      <c r="A25" s="109"/>
      <c r="B25" s="89"/>
      <c r="C25" s="30" t="s">
        <v>603</v>
      </c>
      <c r="D25" s="27" t="s">
        <v>626</v>
      </c>
      <c r="E25" s="4">
        <v>104</v>
      </c>
      <c r="F25" s="32"/>
      <c r="G25" s="32">
        <v>62400</v>
      </c>
      <c r="H25" s="2"/>
    </row>
    <row r="26" spans="1:8" ht="15.75" x14ac:dyDescent="0.25">
      <c r="A26" s="109"/>
      <c r="B26" s="89"/>
      <c r="C26" s="30" t="s">
        <v>604</v>
      </c>
      <c r="D26" s="27" t="s">
        <v>163</v>
      </c>
      <c r="E26" s="4">
        <v>4</v>
      </c>
      <c r="F26" s="32">
        <v>100</v>
      </c>
      <c r="G26" s="32">
        <v>400</v>
      </c>
      <c r="H26" s="2"/>
    </row>
    <row r="27" spans="1:8" ht="15.75" x14ac:dyDescent="0.25">
      <c r="A27" s="109"/>
      <c r="B27" s="89"/>
      <c r="C27" s="30" t="s">
        <v>605</v>
      </c>
      <c r="D27" s="27" t="s">
        <v>163</v>
      </c>
      <c r="E27" s="4">
        <v>2</v>
      </c>
      <c r="F27" s="32">
        <v>100</v>
      </c>
      <c r="G27" s="32">
        <v>200</v>
      </c>
      <c r="H27" s="2"/>
    </row>
    <row r="28" spans="1:8" ht="15.75" x14ac:dyDescent="0.25">
      <c r="A28" s="109"/>
      <c r="B28" s="89"/>
      <c r="C28" s="30" t="s">
        <v>606</v>
      </c>
      <c r="D28" s="27" t="s">
        <v>7</v>
      </c>
      <c r="E28" s="4">
        <v>3</v>
      </c>
      <c r="F28" s="32">
        <v>1000</v>
      </c>
      <c r="G28" s="32">
        <v>3000</v>
      </c>
      <c r="H28" s="2"/>
    </row>
    <row r="29" spans="1:8" ht="15.75" x14ac:dyDescent="0.25">
      <c r="A29" s="109"/>
      <c r="B29" s="89"/>
      <c r="C29" s="30" t="s">
        <v>607</v>
      </c>
      <c r="D29" s="27" t="s">
        <v>19</v>
      </c>
      <c r="E29" s="4">
        <v>25</v>
      </c>
      <c r="F29" s="32">
        <v>100</v>
      </c>
      <c r="G29" s="32">
        <v>2500</v>
      </c>
      <c r="H29" s="2"/>
    </row>
    <row r="30" spans="1:8" ht="15.75" x14ac:dyDescent="0.25">
      <c r="A30" s="109"/>
      <c r="B30" s="89"/>
      <c r="C30" s="30" t="s">
        <v>608</v>
      </c>
      <c r="D30" s="27" t="s">
        <v>19</v>
      </c>
      <c r="E30" s="4">
        <v>9</v>
      </c>
      <c r="F30" s="32">
        <v>100</v>
      </c>
      <c r="G30" s="32">
        <v>900</v>
      </c>
      <c r="H30" s="2"/>
    </row>
    <row r="31" spans="1:8" ht="15.75" x14ac:dyDescent="0.25">
      <c r="A31" s="109"/>
      <c r="B31" s="89"/>
      <c r="C31" s="30" t="s">
        <v>609</v>
      </c>
      <c r="D31" s="27" t="s">
        <v>7</v>
      </c>
      <c r="E31" s="4">
        <v>6</v>
      </c>
      <c r="F31" s="32">
        <v>350</v>
      </c>
      <c r="G31" s="32">
        <v>2100</v>
      </c>
      <c r="H31" s="2"/>
    </row>
    <row r="32" spans="1:8" ht="15.75" x14ac:dyDescent="0.25">
      <c r="A32" s="109"/>
      <c r="B32" s="89"/>
      <c r="C32" s="30" t="s">
        <v>610</v>
      </c>
      <c r="D32" s="27" t="s">
        <v>7</v>
      </c>
      <c r="E32" s="4">
        <v>2</v>
      </c>
      <c r="F32" s="32">
        <v>500</v>
      </c>
      <c r="G32" s="32">
        <v>1000</v>
      </c>
      <c r="H32" s="2"/>
    </row>
    <row r="33" spans="1:8" ht="15.75" x14ac:dyDescent="0.25">
      <c r="A33" s="109"/>
      <c r="B33" s="89"/>
      <c r="C33" s="30" t="s">
        <v>611</v>
      </c>
      <c r="D33" s="27" t="s">
        <v>7</v>
      </c>
      <c r="E33" s="4">
        <f>3+2</f>
        <v>5</v>
      </c>
      <c r="F33" s="32"/>
      <c r="G33" s="32">
        <f>300+200</f>
        <v>500</v>
      </c>
      <c r="H33" s="2"/>
    </row>
    <row r="34" spans="1:8" ht="15.75" x14ac:dyDescent="0.25">
      <c r="A34" s="109"/>
      <c r="B34" s="89"/>
      <c r="C34" s="30" t="s">
        <v>612</v>
      </c>
      <c r="D34" s="27" t="s">
        <v>7</v>
      </c>
      <c r="E34" s="4">
        <v>1</v>
      </c>
      <c r="F34" s="32">
        <v>200</v>
      </c>
      <c r="G34" s="32">
        <v>200</v>
      </c>
      <c r="H34" s="2"/>
    </row>
    <row r="35" spans="1:8" ht="15.75" x14ac:dyDescent="0.25">
      <c r="A35" s="109"/>
      <c r="B35" s="89"/>
      <c r="C35" s="30" t="s">
        <v>613</v>
      </c>
      <c r="D35" s="27" t="s">
        <v>7</v>
      </c>
      <c r="E35" s="4">
        <v>1</v>
      </c>
      <c r="F35" s="32">
        <v>200</v>
      </c>
      <c r="G35" s="32">
        <v>200</v>
      </c>
      <c r="H35" s="2"/>
    </row>
    <row r="36" spans="1:8" ht="15.75" x14ac:dyDescent="0.25">
      <c r="A36" s="109"/>
      <c r="B36" s="89"/>
      <c r="C36" s="30" t="s">
        <v>614</v>
      </c>
      <c r="D36" s="27" t="s">
        <v>7</v>
      </c>
      <c r="E36" s="4">
        <v>2</v>
      </c>
      <c r="F36" s="32">
        <v>2400</v>
      </c>
      <c r="G36" s="32">
        <v>4800</v>
      </c>
      <c r="H36" s="2"/>
    </row>
    <row r="37" spans="1:8" ht="15.75" x14ac:dyDescent="0.25">
      <c r="A37" s="109"/>
      <c r="B37" s="89"/>
      <c r="C37" s="30" t="s">
        <v>615</v>
      </c>
      <c r="D37" s="27" t="s">
        <v>7</v>
      </c>
      <c r="E37" s="4">
        <v>4</v>
      </c>
      <c r="F37" s="32">
        <v>900</v>
      </c>
      <c r="G37" s="32">
        <v>3600</v>
      </c>
      <c r="H37" s="2"/>
    </row>
    <row r="38" spans="1:8" ht="15.75" x14ac:dyDescent="0.25">
      <c r="A38" s="109"/>
      <c r="B38" s="89"/>
      <c r="C38" s="30" t="s">
        <v>616</v>
      </c>
      <c r="D38" s="27" t="s">
        <v>7</v>
      </c>
      <c r="E38" s="4">
        <v>2</v>
      </c>
      <c r="F38" s="32">
        <v>300</v>
      </c>
      <c r="G38" s="32">
        <v>600</v>
      </c>
      <c r="H38" s="2"/>
    </row>
    <row r="39" spans="1:8" ht="15.75" x14ac:dyDescent="0.25">
      <c r="A39" s="109"/>
      <c r="B39" s="89"/>
      <c r="C39" s="30" t="s">
        <v>617</v>
      </c>
      <c r="D39" s="27" t="s">
        <v>7</v>
      </c>
      <c r="E39" s="4">
        <v>3</v>
      </c>
      <c r="F39" s="32">
        <v>3200</v>
      </c>
      <c r="G39" s="32">
        <v>9600</v>
      </c>
      <c r="H39" s="2"/>
    </row>
    <row r="40" spans="1:8" ht="15.75" x14ac:dyDescent="0.25">
      <c r="A40" s="109"/>
      <c r="B40" s="89"/>
      <c r="C40" s="30" t="s">
        <v>618</v>
      </c>
      <c r="D40" s="27" t="s">
        <v>7</v>
      </c>
      <c r="E40" s="4">
        <v>3</v>
      </c>
      <c r="F40" s="32">
        <v>250</v>
      </c>
      <c r="G40" s="32">
        <v>750</v>
      </c>
      <c r="H40" s="2"/>
    </row>
    <row r="41" spans="1:8" ht="15.75" x14ac:dyDescent="0.25">
      <c r="A41" s="109"/>
      <c r="B41" s="89"/>
      <c r="C41" s="30" t="s">
        <v>619</v>
      </c>
      <c r="D41" s="27" t="s">
        <v>627</v>
      </c>
      <c r="E41" s="4">
        <v>3</v>
      </c>
      <c r="F41" s="32">
        <v>200</v>
      </c>
      <c r="G41" s="32">
        <v>600</v>
      </c>
      <c r="H41" s="2"/>
    </row>
    <row r="42" spans="1:8" ht="15.75" x14ac:dyDescent="0.25">
      <c r="A42" s="109"/>
      <c r="B42" s="89"/>
      <c r="C42" s="30" t="s">
        <v>620</v>
      </c>
      <c r="D42" s="27" t="s">
        <v>7</v>
      </c>
      <c r="E42" s="4">
        <v>15</v>
      </c>
      <c r="F42" s="32">
        <v>500</v>
      </c>
      <c r="G42" s="32">
        <v>7500</v>
      </c>
      <c r="H42" s="2"/>
    </row>
    <row r="43" spans="1:8" ht="15.75" x14ac:dyDescent="0.25">
      <c r="A43" s="109"/>
      <c r="B43" s="89"/>
      <c r="C43" s="30" t="s">
        <v>621</v>
      </c>
      <c r="D43" s="27" t="s">
        <v>7</v>
      </c>
      <c r="E43" s="4">
        <v>3</v>
      </c>
      <c r="F43" s="32">
        <v>600</v>
      </c>
      <c r="G43" s="32">
        <v>1800</v>
      </c>
      <c r="H43" s="2"/>
    </row>
    <row r="44" spans="1:8" ht="15.75" x14ac:dyDescent="0.25">
      <c r="A44" s="109"/>
      <c r="B44" s="89"/>
      <c r="C44" s="30" t="s">
        <v>622</v>
      </c>
      <c r="D44" s="27" t="s">
        <v>7</v>
      </c>
      <c r="E44" s="4">
        <v>2</v>
      </c>
      <c r="F44" s="32">
        <v>4000</v>
      </c>
      <c r="G44" s="32">
        <v>8000</v>
      </c>
      <c r="H44" s="2"/>
    </row>
    <row r="45" spans="1:8" ht="15.75" x14ac:dyDescent="0.25">
      <c r="A45" s="109"/>
      <c r="B45" s="89"/>
      <c r="C45" s="30" t="s">
        <v>623</v>
      </c>
      <c r="D45" s="27" t="s">
        <v>7</v>
      </c>
      <c r="E45" s="4">
        <v>2</v>
      </c>
      <c r="F45" s="32">
        <v>200</v>
      </c>
      <c r="G45" s="32">
        <v>400</v>
      </c>
      <c r="H45" s="2"/>
    </row>
    <row r="46" spans="1:8" ht="15.75" x14ac:dyDescent="0.25">
      <c r="A46" s="109"/>
      <c r="B46" s="89"/>
      <c r="C46" s="30" t="s">
        <v>624</v>
      </c>
      <c r="D46" s="27" t="s">
        <v>625</v>
      </c>
      <c r="E46" s="4">
        <v>14</v>
      </c>
      <c r="F46" s="32">
        <v>2855</v>
      </c>
      <c r="G46" s="32">
        <v>39970</v>
      </c>
      <c r="H46" s="2"/>
    </row>
    <row r="47" spans="1:8" ht="15.75" x14ac:dyDescent="0.25">
      <c r="A47" s="109"/>
      <c r="B47" s="89"/>
      <c r="C47" s="30" t="s">
        <v>65</v>
      </c>
      <c r="D47" s="27" t="s">
        <v>7</v>
      </c>
      <c r="E47" s="4">
        <v>1</v>
      </c>
      <c r="F47" s="32">
        <v>1975</v>
      </c>
      <c r="G47" s="32">
        <v>1975</v>
      </c>
      <c r="H47" s="2"/>
    </row>
    <row r="48" spans="1:8" ht="15.75" x14ac:dyDescent="0.25">
      <c r="A48" s="109"/>
      <c r="B48" s="89"/>
      <c r="C48" s="30" t="s">
        <v>628</v>
      </c>
      <c r="D48" s="27" t="s">
        <v>7</v>
      </c>
      <c r="E48" s="4">
        <v>10</v>
      </c>
      <c r="F48" s="32">
        <f>G48/E48</f>
        <v>409.38</v>
      </c>
      <c r="G48" s="32">
        <v>4093.8</v>
      </c>
      <c r="H48" s="2"/>
    </row>
    <row r="49" spans="1:8" ht="15.75" x14ac:dyDescent="0.25">
      <c r="A49" s="109"/>
      <c r="B49" s="89"/>
      <c r="C49" s="30" t="s">
        <v>629</v>
      </c>
      <c r="D49" s="27" t="s">
        <v>7</v>
      </c>
      <c r="E49" s="4">
        <v>10</v>
      </c>
      <c r="F49" s="32">
        <f t="shared" ref="F49:F65" si="0">G49/E49</f>
        <v>169.62</v>
      </c>
      <c r="G49" s="32">
        <v>1696.2</v>
      </c>
      <c r="H49" s="2"/>
    </row>
    <row r="50" spans="1:8" ht="15.75" x14ac:dyDescent="0.25">
      <c r="A50" s="109"/>
      <c r="B50" s="89"/>
      <c r="C50" s="30" t="s">
        <v>630</v>
      </c>
      <c r="D50" s="27" t="s">
        <v>7</v>
      </c>
      <c r="E50" s="4">
        <v>10</v>
      </c>
      <c r="F50" s="32">
        <f t="shared" si="0"/>
        <v>99.6</v>
      </c>
      <c r="G50" s="32">
        <v>996</v>
      </c>
      <c r="H50" s="2"/>
    </row>
    <row r="51" spans="1:8" ht="15.75" x14ac:dyDescent="0.25">
      <c r="A51" s="109"/>
      <c r="B51" s="89"/>
      <c r="C51" s="30" t="s">
        <v>14</v>
      </c>
      <c r="D51" s="27" t="s">
        <v>163</v>
      </c>
      <c r="E51" s="4">
        <v>10</v>
      </c>
      <c r="F51" s="32">
        <f t="shared" si="0"/>
        <v>611.46</v>
      </c>
      <c r="G51" s="32">
        <v>6114.6</v>
      </c>
      <c r="H51" s="2"/>
    </row>
    <row r="52" spans="1:8" ht="15.75" x14ac:dyDescent="0.25">
      <c r="A52" s="109"/>
      <c r="B52" s="89"/>
      <c r="C52" s="30" t="s">
        <v>631</v>
      </c>
      <c r="D52" s="27" t="s">
        <v>15</v>
      </c>
      <c r="E52" s="4">
        <v>50</v>
      </c>
      <c r="F52" s="32">
        <f t="shared" si="0"/>
        <v>40.56</v>
      </c>
      <c r="G52" s="32">
        <v>2028</v>
      </c>
      <c r="H52" s="2"/>
    </row>
    <row r="53" spans="1:8" ht="15.75" x14ac:dyDescent="0.25">
      <c r="A53" s="109"/>
      <c r="B53" s="89"/>
      <c r="C53" s="30" t="s">
        <v>632</v>
      </c>
      <c r="D53" s="27" t="s">
        <v>7</v>
      </c>
      <c r="E53" s="4">
        <v>13</v>
      </c>
      <c r="F53" s="32">
        <f t="shared" si="0"/>
        <v>106.19999999999999</v>
      </c>
      <c r="G53" s="32">
        <v>1380.6</v>
      </c>
      <c r="H53" s="2"/>
    </row>
    <row r="54" spans="1:8" ht="15.75" x14ac:dyDescent="0.25">
      <c r="A54" s="109"/>
      <c r="B54" s="89"/>
      <c r="C54" s="30" t="s">
        <v>633</v>
      </c>
      <c r="D54" s="27" t="s">
        <v>7</v>
      </c>
      <c r="E54" s="4">
        <v>12</v>
      </c>
      <c r="F54" s="32">
        <f t="shared" si="0"/>
        <v>183.66</v>
      </c>
      <c r="G54" s="32">
        <v>2203.92</v>
      </c>
      <c r="H54" s="2"/>
    </row>
    <row r="55" spans="1:8" ht="15.75" x14ac:dyDescent="0.25">
      <c r="A55" s="109"/>
      <c r="B55" s="89"/>
      <c r="C55" s="30" t="s">
        <v>368</v>
      </c>
      <c r="D55" s="27" t="s">
        <v>163</v>
      </c>
      <c r="E55" s="4">
        <v>25</v>
      </c>
      <c r="F55" s="32">
        <f t="shared" si="0"/>
        <v>23.58</v>
      </c>
      <c r="G55" s="32">
        <v>589.5</v>
      </c>
      <c r="H55" s="2"/>
    </row>
    <row r="56" spans="1:8" ht="15.75" x14ac:dyDescent="0.25">
      <c r="A56" s="109"/>
      <c r="B56" s="89"/>
      <c r="C56" s="30" t="s">
        <v>634</v>
      </c>
      <c r="D56" s="27" t="s">
        <v>7</v>
      </c>
      <c r="E56" s="4">
        <v>10</v>
      </c>
      <c r="F56" s="32">
        <f t="shared" si="0"/>
        <v>29.52</v>
      </c>
      <c r="G56" s="32">
        <v>295.2</v>
      </c>
      <c r="H56" s="2"/>
    </row>
    <row r="57" spans="1:8" ht="15.75" x14ac:dyDescent="0.25">
      <c r="A57" s="109"/>
      <c r="B57" s="89"/>
      <c r="C57" s="30" t="s">
        <v>635</v>
      </c>
      <c r="D57" s="27" t="s">
        <v>7</v>
      </c>
      <c r="E57" s="4">
        <v>15</v>
      </c>
      <c r="F57" s="32">
        <f t="shared" si="0"/>
        <v>249.3</v>
      </c>
      <c r="G57" s="32">
        <v>3739.5</v>
      </c>
      <c r="H57" s="2"/>
    </row>
    <row r="58" spans="1:8" ht="15.75" x14ac:dyDescent="0.25">
      <c r="A58" s="109"/>
      <c r="B58" s="89"/>
      <c r="C58" s="30" t="s">
        <v>636</v>
      </c>
      <c r="D58" s="27" t="s">
        <v>7</v>
      </c>
      <c r="E58" s="4">
        <v>5</v>
      </c>
      <c r="F58" s="32">
        <f t="shared" si="0"/>
        <v>84.06</v>
      </c>
      <c r="G58" s="32">
        <v>420.3</v>
      </c>
      <c r="H58" s="2"/>
    </row>
    <row r="59" spans="1:8" ht="15.75" x14ac:dyDescent="0.25">
      <c r="A59" s="109"/>
      <c r="B59" s="89"/>
      <c r="C59" s="30" t="s">
        <v>637</v>
      </c>
      <c r="D59" s="27" t="s">
        <v>7</v>
      </c>
      <c r="E59" s="4">
        <v>15</v>
      </c>
      <c r="F59" s="32">
        <f t="shared" si="0"/>
        <v>28.740000000000002</v>
      </c>
      <c r="G59" s="32">
        <v>431.1</v>
      </c>
      <c r="H59" s="2"/>
    </row>
    <row r="60" spans="1:8" ht="15.75" x14ac:dyDescent="0.25">
      <c r="A60" s="109"/>
      <c r="B60" s="89"/>
      <c r="C60" s="30" t="s">
        <v>12</v>
      </c>
      <c r="D60" s="27" t="s">
        <v>7</v>
      </c>
      <c r="E60" s="4">
        <v>45</v>
      </c>
      <c r="F60" s="32">
        <f t="shared" si="0"/>
        <v>65.64</v>
      </c>
      <c r="G60" s="32">
        <v>2953.8</v>
      </c>
      <c r="H60" s="2"/>
    </row>
    <row r="61" spans="1:8" ht="15.75" x14ac:dyDescent="0.25">
      <c r="A61" s="109"/>
      <c r="B61" s="89"/>
      <c r="C61" s="30" t="s">
        <v>638</v>
      </c>
      <c r="D61" s="27" t="s">
        <v>7</v>
      </c>
      <c r="E61" s="4">
        <v>10</v>
      </c>
      <c r="F61" s="32">
        <f t="shared" si="0"/>
        <v>19.919999999999998</v>
      </c>
      <c r="G61" s="32">
        <v>199.2</v>
      </c>
      <c r="H61" s="2"/>
    </row>
    <row r="62" spans="1:8" ht="15.75" x14ac:dyDescent="0.25">
      <c r="A62" s="109"/>
      <c r="B62" s="89"/>
      <c r="C62" s="30" t="s">
        <v>639</v>
      </c>
      <c r="D62" s="27" t="s">
        <v>7</v>
      </c>
      <c r="E62" s="4">
        <v>5</v>
      </c>
      <c r="F62" s="32">
        <f t="shared" si="0"/>
        <v>39.839999999999996</v>
      </c>
      <c r="G62" s="32">
        <v>199.2</v>
      </c>
      <c r="H62" s="2"/>
    </row>
    <row r="63" spans="1:8" ht="15.75" x14ac:dyDescent="0.25">
      <c r="A63" s="109"/>
      <c r="B63" s="89"/>
      <c r="C63" s="30" t="s">
        <v>640</v>
      </c>
      <c r="D63" s="27" t="s">
        <v>7</v>
      </c>
      <c r="E63" s="4">
        <v>10</v>
      </c>
      <c r="F63" s="32">
        <f t="shared" si="0"/>
        <v>182.16</v>
      </c>
      <c r="G63" s="32">
        <v>1821.6</v>
      </c>
      <c r="H63" s="2"/>
    </row>
    <row r="64" spans="1:8" ht="15.75" x14ac:dyDescent="0.25">
      <c r="A64" s="109"/>
      <c r="B64" s="89"/>
      <c r="C64" s="30" t="s">
        <v>641</v>
      </c>
      <c r="D64" s="27" t="s">
        <v>7</v>
      </c>
      <c r="E64" s="4">
        <v>15</v>
      </c>
      <c r="F64" s="32">
        <f t="shared" si="0"/>
        <v>105.48</v>
      </c>
      <c r="G64" s="32">
        <v>1582.2</v>
      </c>
      <c r="H64" s="2"/>
    </row>
    <row r="65" spans="1:8" ht="15.75" x14ac:dyDescent="0.25">
      <c r="A65" s="109"/>
      <c r="B65" s="89"/>
      <c r="C65" s="30" t="s">
        <v>642</v>
      </c>
      <c r="D65" s="27" t="s">
        <v>7</v>
      </c>
      <c r="E65" s="4">
        <v>13</v>
      </c>
      <c r="F65" s="32">
        <f t="shared" si="0"/>
        <v>80</v>
      </c>
      <c r="G65" s="32">
        <v>1040</v>
      </c>
      <c r="H65" s="2"/>
    </row>
    <row r="66" spans="1:8" ht="15.75" x14ac:dyDescent="0.25">
      <c r="A66" s="109"/>
      <c r="B66" s="89"/>
      <c r="C66" s="30" t="s">
        <v>642</v>
      </c>
      <c r="D66" s="27" t="s">
        <v>7</v>
      </c>
      <c r="E66" s="4">
        <v>10</v>
      </c>
      <c r="F66" s="32">
        <f t="shared" ref="F66" si="1">G66/E66</f>
        <v>80</v>
      </c>
      <c r="G66" s="32">
        <v>800</v>
      </c>
      <c r="H66" s="2"/>
    </row>
    <row r="67" spans="1:8" ht="15.75" x14ac:dyDescent="0.25">
      <c r="A67" s="109"/>
      <c r="B67" s="89"/>
      <c r="C67" s="30" t="s">
        <v>347</v>
      </c>
      <c r="D67" s="27" t="s">
        <v>7</v>
      </c>
      <c r="E67" s="4">
        <v>3</v>
      </c>
      <c r="F67" s="32">
        <v>8876.2999999999993</v>
      </c>
      <c r="G67" s="32">
        <v>26628.9</v>
      </c>
      <c r="H67" s="2"/>
    </row>
    <row r="68" spans="1:8" ht="15.75" x14ac:dyDescent="0.25">
      <c r="A68" s="109"/>
      <c r="B68" s="89"/>
      <c r="C68" s="30" t="s">
        <v>649</v>
      </c>
      <c r="D68" s="27" t="s">
        <v>7</v>
      </c>
      <c r="E68" s="4">
        <v>3</v>
      </c>
      <c r="F68" s="32">
        <v>166.05</v>
      </c>
      <c r="G68" s="32">
        <v>499.5</v>
      </c>
      <c r="H68" s="2"/>
    </row>
    <row r="69" spans="1:8" ht="15.75" x14ac:dyDescent="0.25">
      <c r="A69" s="109"/>
      <c r="B69" s="89"/>
      <c r="C69" s="30" t="s">
        <v>650</v>
      </c>
      <c r="D69" s="27" t="s">
        <v>7</v>
      </c>
      <c r="E69" s="4">
        <v>3</v>
      </c>
      <c r="F69" s="32">
        <v>83.62</v>
      </c>
      <c r="G69" s="32">
        <v>250.86</v>
      </c>
      <c r="H69" s="2"/>
    </row>
    <row r="70" spans="1:8" ht="15.75" x14ac:dyDescent="0.25">
      <c r="A70" s="109"/>
      <c r="B70" s="89"/>
      <c r="C70" s="30" t="s">
        <v>651</v>
      </c>
      <c r="D70" s="27" t="s">
        <v>7</v>
      </c>
      <c r="E70" s="4">
        <v>3</v>
      </c>
      <c r="F70" s="32">
        <v>187.96</v>
      </c>
      <c r="G70" s="32">
        <v>563.88</v>
      </c>
      <c r="H70" s="2"/>
    </row>
    <row r="71" spans="1:8" ht="15.75" x14ac:dyDescent="0.25">
      <c r="A71" s="109"/>
      <c r="B71" s="89"/>
      <c r="C71" s="57" t="s">
        <v>652</v>
      </c>
      <c r="D71" s="27" t="s">
        <v>7</v>
      </c>
      <c r="E71" s="34">
        <v>36</v>
      </c>
      <c r="F71" s="58">
        <v>8.32</v>
      </c>
      <c r="G71" s="58">
        <v>299.52</v>
      </c>
      <c r="H71" s="2"/>
    </row>
    <row r="72" spans="1:8" ht="15.75" x14ac:dyDescent="0.25">
      <c r="A72" s="109"/>
      <c r="B72" s="89"/>
      <c r="C72" s="57" t="s">
        <v>653</v>
      </c>
      <c r="D72" s="27" t="s">
        <v>7</v>
      </c>
      <c r="E72" s="34">
        <v>22</v>
      </c>
      <c r="F72" s="58">
        <v>10</v>
      </c>
      <c r="G72" s="58">
        <v>220</v>
      </c>
      <c r="H72" s="2"/>
    </row>
    <row r="73" spans="1:8" ht="15.75" x14ac:dyDescent="0.25">
      <c r="A73" s="109"/>
      <c r="B73" s="89"/>
      <c r="C73" s="57" t="s">
        <v>654</v>
      </c>
      <c r="D73" s="27" t="s">
        <v>7</v>
      </c>
      <c r="E73" s="34">
        <v>6</v>
      </c>
      <c r="F73" s="58">
        <v>20</v>
      </c>
      <c r="G73" s="58">
        <v>120</v>
      </c>
      <c r="H73" s="2"/>
    </row>
    <row r="74" spans="1:8" ht="15.75" x14ac:dyDescent="0.25">
      <c r="A74" s="109"/>
      <c r="B74" s="89"/>
      <c r="C74" s="57" t="s">
        <v>655</v>
      </c>
      <c r="D74" s="27" t="s">
        <v>7</v>
      </c>
      <c r="E74" s="34">
        <v>4</v>
      </c>
      <c r="F74" s="58">
        <v>30</v>
      </c>
      <c r="G74" s="58">
        <v>120</v>
      </c>
      <c r="H74" s="2"/>
    </row>
    <row r="75" spans="1:8" ht="15.75" x14ac:dyDescent="0.25">
      <c r="A75" s="109"/>
      <c r="B75" s="89"/>
      <c r="C75" s="57" t="s">
        <v>656</v>
      </c>
      <c r="D75" s="27" t="s">
        <v>7</v>
      </c>
      <c r="E75" s="34">
        <v>1</v>
      </c>
      <c r="F75" s="58">
        <v>31</v>
      </c>
      <c r="G75" s="58">
        <v>31</v>
      </c>
      <c r="H75" s="2"/>
    </row>
    <row r="76" spans="1:8" ht="15.75" x14ac:dyDescent="0.25">
      <c r="A76" s="109"/>
      <c r="B76" s="89"/>
      <c r="C76" s="57" t="s">
        <v>657</v>
      </c>
      <c r="D76" s="27" t="s">
        <v>7</v>
      </c>
      <c r="E76" s="34">
        <v>12</v>
      </c>
      <c r="F76" s="58">
        <v>10</v>
      </c>
      <c r="G76" s="58">
        <v>120</v>
      </c>
      <c r="H76" s="2"/>
    </row>
    <row r="77" spans="1:8" ht="15.75" x14ac:dyDescent="0.25">
      <c r="A77" s="109"/>
      <c r="B77" s="89"/>
      <c r="C77" s="57" t="s">
        <v>658</v>
      </c>
      <c r="D77" s="27" t="s">
        <v>7</v>
      </c>
      <c r="E77" s="34">
        <v>2</v>
      </c>
      <c r="F77" s="58">
        <v>30</v>
      </c>
      <c r="G77" s="58">
        <v>60</v>
      </c>
      <c r="H77" s="2"/>
    </row>
    <row r="78" spans="1:8" ht="15.75" x14ac:dyDescent="0.25">
      <c r="A78" s="109"/>
      <c r="B78" s="89"/>
      <c r="C78" s="57" t="s">
        <v>659</v>
      </c>
      <c r="D78" s="27" t="s">
        <v>7</v>
      </c>
      <c r="E78" s="34">
        <v>1</v>
      </c>
      <c r="F78" s="58">
        <v>100</v>
      </c>
      <c r="G78" s="58">
        <v>100</v>
      </c>
      <c r="H78" s="2"/>
    </row>
    <row r="79" spans="1:8" ht="15.75" x14ac:dyDescent="0.25">
      <c r="A79" s="109"/>
      <c r="B79" s="89"/>
      <c r="C79" s="57" t="s">
        <v>636</v>
      </c>
      <c r="D79" s="27" t="s">
        <v>7</v>
      </c>
      <c r="E79" s="34">
        <v>3</v>
      </c>
      <c r="F79" s="58">
        <v>50</v>
      </c>
      <c r="G79" s="58">
        <v>150</v>
      </c>
      <c r="H79" s="2"/>
    </row>
    <row r="80" spans="1:8" ht="15.75" x14ac:dyDescent="0.25">
      <c r="A80" s="109"/>
      <c r="B80" s="89"/>
      <c r="C80" s="57" t="s">
        <v>660</v>
      </c>
      <c r="D80" s="27" t="s">
        <v>7</v>
      </c>
      <c r="E80" s="34">
        <v>12</v>
      </c>
      <c r="F80" s="58">
        <v>15</v>
      </c>
      <c r="G80" s="58">
        <v>180</v>
      </c>
      <c r="H80" s="2"/>
    </row>
    <row r="81" spans="1:8" ht="15.75" x14ac:dyDescent="0.25">
      <c r="A81" s="109"/>
      <c r="B81" s="89"/>
      <c r="C81" s="57" t="s">
        <v>661</v>
      </c>
      <c r="D81" s="27" t="s">
        <v>7</v>
      </c>
      <c r="E81" s="34">
        <v>22</v>
      </c>
      <c r="F81" s="58">
        <v>10</v>
      </c>
      <c r="G81" s="58">
        <v>220</v>
      </c>
      <c r="H81" s="2"/>
    </row>
    <row r="82" spans="1:8" ht="15.75" x14ac:dyDescent="0.25">
      <c r="A82" s="109"/>
      <c r="B82" s="89"/>
      <c r="C82" s="57" t="s">
        <v>16</v>
      </c>
      <c r="D82" s="27" t="s">
        <v>163</v>
      </c>
      <c r="E82" s="34">
        <v>1</v>
      </c>
      <c r="F82" s="58">
        <v>200</v>
      </c>
      <c r="G82" s="58">
        <v>200</v>
      </c>
      <c r="H82" s="2"/>
    </row>
    <row r="83" spans="1:8" ht="15.75" x14ac:dyDescent="0.25">
      <c r="A83" s="109"/>
      <c r="B83" s="89"/>
      <c r="C83" s="57" t="s">
        <v>662</v>
      </c>
      <c r="D83" s="27" t="s">
        <v>7</v>
      </c>
      <c r="E83" s="34">
        <v>7</v>
      </c>
      <c r="F83" s="58">
        <v>20</v>
      </c>
      <c r="G83" s="58">
        <v>140</v>
      </c>
      <c r="H83" s="2"/>
    </row>
    <row r="84" spans="1:8" ht="15.75" x14ac:dyDescent="0.25">
      <c r="A84" s="109"/>
      <c r="B84" s="89"/>
      <c r="C84" s="57" t="s">
        <v>663</v>
      </c>
      <c r="D84" s="27" t="s">
        <v>163</v>
      </c>
      <c r="E84" s="34">
        <v>2</v>
      </c>
      <c r="F84" s="58">
        <v>30</v>
      </c>
      <c r="G84" s="58">
        <v>60</v>
      </c>
      <c r="H84" s="2"/>
    </row>
    <row r="85" spans="1:8" ht="15.75" x14ac:dyDescent="0.25">
      <c r="A85" s="109"/>
      <c r="B85" s="89"/>
      <c r="C85" s="57" t="s">
        <v>14</v>
      </c>
      <c r="D85" s="27" t="s">
        <v>163</v>
      </c>
      <c r="E85" s="34">
        <v>7</v>
      </c>
      <c r="F85" s="58">
        <v>30</v>
      </c>
      <c r="G85" s="58">
        <v>210</v>
      </c>
      <c r="H85" s="2"/>
    </row>
    <row r="86" spans="1:8" ht="15.75" x14ac:dyDescent="0.25">
      <c r="A86" s="109"/>
      <c r="B86" s="89"/>
      <c r="C86" s="57" t="s">
        <v>664</v>
      </c>
      <c r="D86" s="27" t="s">
        <v>163</v>
      </c>
      <c r="E86" s="34">
        <v>10</v>
      </c>
      <c r="F86" s="58"/>
      <c r="G86" s="58">
        <v>1736.77</v>
      </c>
      <c r="H86" s="2"/>
    </row>
    <row r="87" spans="1:8" ht="15.75" x14ac:dyDescent="0.25">
      <c r="A87" s="109"/>
      <c r="B87" s="89"/>
      <c r="C87" s="57" t="s">
        <v>539</v>
      </c>
      <c r="D87" s="27" t="s">
        <v>7</v>
      </c>
      <c r="E87" s="34">
        <v>10</v>
      </c>
      <c r="F87" s="58">
        <v>682.65</v>
      </c>
      <c r="G87" s="58">
        <v>6826.5</v>
      </c>
      <c r="H87" s="2"/>
    </row>
    <row r="88" spans="1:8" ht="15.75" x14ac:dyDescent="0.25">
      <c r="A88" s="109"/>
      <c r="B88" s="89"/>
      <c r="C88" s="57" t="s">
        <v>65</v>
      </c>
      <c r="D88" s="27" t="s">
        <v>7</v>
      </c>
      <c r="E88" s="34">
        <v>1</v>
      </c>
      <c r="F88" s="58">
        <v>6529.45</v>
      </c>
      <c r="G88" s="58">
        <v>6529.45</v>
      </c>
      <c r="H88" s="2"/>
    </row>
    <row r="89" spans="1:8" ht="15.75" x14ac:dyDescent="0.25">
      <c r="A89" s="109"/>
      <c r="B89" s="89"/>
      <c r="C89" s="57" t="s">
        <v>666</v>
      </c>
      <c r="D89" s="27" t="s">
        <v>7</v>
      </c>
      <c r="E89" s="34">
        <v>8</v>
      </c>
      <c r="F89" s="58">
        <v>164.65</v>
      </c>
      <c r="G89" s="58">
        <v>1317.2</v>
      </c>
      <c r="H89" s="2"/>
    </row>
    <row r="90" spans="1:8" ht="15.75" x14ac:dyDescent="0.25">
      <c r="A90" s="109"/>
      <c r="B90" s="89"/>
      <c r="C90" s="57" t="s">
        <v>668</v>
      </c>
      <c r="D90" s="27" t="s">
        <v>7</v>
      </c>
      <c r="E90" s="34">
        <v>4</v>
      </c>
      <c r="F90" s="58">
        <v>190.92</v>
      </c>
      <c r="G90" s="58">
        <v>763.68</v>
      </c>
      <c r="H90" s="2"/>
    </row>
    <row r="91" spans="1:8" ht="15.75" x14ac:dyDescent="0.25">
      <c r="A91" s="109"/>
      <c r="B91" s="89"/>
      <c r="C91" s="30" t="s">
        <v>669</v>
      </c>
      <c r="D91" s="27" t="s">
        <v>7</v>
      </c>
      <c r="E91" s="4">
        <v>8</v>
      </c>
      <c r="F91" s="32">
        <v>955</v>
      </c>
      <c r="G91" s="32">
        <v>7640</v>
      </c>
      <c r="H91" s="2"/>
    </row>
    <row r="92" spans="1:8" ht="15.75" x14ac:dyDescent="0.25">
      <c r="A92" s="110"/>
      <c r="B92" s="90"/>
      <c r="C92" s="30" t="s">
        <v>667</v>
      </c>
      <c r="D92" s="27" t="s">
        <v>7</v>
      </c>
      <c r="E92" s="4">
        <v>5</v>
      </c>
      <c r="F92" s="32">
        <v>255.67</v>
      </c>
      <c r="G92" s="32">
        <v>1278.3499999999999</v>
      </c>
      <c r="H92" s="2"/>
    </row>
    <row r="93" spans="1:8" ht="25.5" x14ac:dyDescent="0.25">
      <c r="A93" s="40"/>
      <c r="B93" s="98"/>
      <c r="C93" s="8" t="s">
        <v>9</v>
      </c>
      <c r="D93" s="7"/>
      <c r="E93" s="9"/>
      <c r="F93" s="61"/>
      <c r="G93" s="61">
        <f>SUM(G3:G92)</f>
        <v>1032508.3799999999</v>
      </c>
      <c r="H93" s="10">
        <f>SUM(H9:H13)</f>
        <v>0</v>
      </c>
    </row>
    <row r="94" spans="1:8" ht="15.75" x14ac:dyDescent="0.25">
      <c r="A94" s="92">
        <v>2</v>
      </c>
      <c r="B94" s="95" t="s">
        <v>64</v>
      </c>
      <c r="C94" s="57" t="s">
        <v>652</v>
      </c>
      <c r="D94" s="27" t="s">
        <v>7</v>
      </c>
      <c r="E94" s="34">
        <v>12</v>
      </c>
      <c r="F94" s="58">
        <v>8.32</v>
      </c>
      <c r="G94" s="58">
        <v>99.84</v>
      </c>
      <c r="H94" s="5" t="s">
        <v>397</v>
      </c>
    </row>
    <row r="95" spans="1:8" ht="15.75" x14ac:dyDescent="0.25">
      <c r="A95" s="93"/>
      <c r="B95" s="96"/>
      <c r="C95" s="57" t="s">
        <v>653</v>
      </c>
      <c r="D95" s="27" t="s">
        <v>7</v>
      </c>
      <c r="E95" s="34">
        <v>22</v>
      </c>
      <c r="F95" s="58">
        <v>10</v>
      </c>
      <c r="G95" s="58">
        <v>220</v>
      </c>
      <c r="H95" s="5"/>
    </row>
    <row r="96" spans="1:8" ht="15.75" x14ac:dyDescent="0.25">
      <c r="A96" s="93"/>
      <c r="B96" s="96"/>
      <c r="C96" s="57" t="s">
        <v>654</v>
      </c>
      <c r="D96" s="27" t="s">
        <v>7</v>
      </c>
      <c r="E96" s="34">
        <v>6</v>
      </c>
      <c r="F96" s="58">
        <v>20</v>
      </c>
      <c r="G96" s="58">
        <v>120</v>
      </c>
      <c r="H96" s="5"/>
    </row>
    <row r="97" spans="1:8" ht="15.75" x14ac:dyDescent="0.25">
      <c r="A97" s="93"/>
      <c r="B97" s="96"/>
      <c r="C97" s="57" t="s">
        <v>655</v>
      </c>
      <c r="D97" s="27" t="s">
        <v>7</v>
      </c>
      <c r="E97" s="34">
        <v>4</v>
      </c>
      <c r="F97" s="58">
        <v>30</v>
      </c>
      <c r="G97" s="58">
        <v>120</v>
      </c>
      <c r="H97" s="5"/>
    </row>
    <row r="98" spans="1:8" ht="15.75" x14ac:dyDescent="0.25">
      <c r="A98" s="93"/>
      <c r="B98" s="96"/>
      <c r="C98" s="57" t="s">
        <v>656</v>
      </c>
      <c r="D98" s="27" t="s">
        <v>7</v>
      </c>
      <c r="E98" s="34">
        <v>1</v>
      </c>
      <c r="F98" s="58">
        <v>31</v>
      </c>
      <c r="G98" s="58">
        <v>31</v>
      </c>
      <c r="H98" s="5"/>
    </row>
    <row r="99" spans="1:8" ht="15.75" x14ac:dyDescent="0.25">
      <c r="A99" s="93"/>
      <c r="B99" s="96"/>
      <c r="C99" s="57" t="s">
        <v>657</v>
      </c>
      <c r="D99" s="27" t="s">
        <v>7</v>
      </c>
      <c r="E99" s="34">
        <v>12</v>
      </c>
      <c r="F99" s="58">
        <v>10</v>
      </c>
      <c r="G99" s="58">
        <v>120</v>
      </c>
      <c r="H99" s="5"/>
    </row>
    <row r="100" spans="1:8" ht="15.75" x14ac:dyDescent="0.25">
      <c r="A100" s="93"/>
      <c r="B100" s="96"/>
      <c r="C100" s="57" t="s">
        <v>658</v>
      </c>
      <c r="D100" s="27" t="s">
        <v>7</v>
      </c>
      <c r="E100" s="34">
        <v>2</v>
      </c>
      <c r="F100" s="58">
        <v>30</v>
      </c>
      <c r="G100" s="58">
        <v>60</v>
      </c>
      <c r="H100" s="5"/>
    </row>
    <row r="101" spans="1:8" ht="15.75" x14ac:dyDescent="0.25">
      <c r="A101" s="93"/>
      <c r="B101" s="96"/>
      <c r="C101" s="57" t="s">
        <v>659</v>
      </c>
      <c r="D101" s="27" t="s">
        <v>7</v>
      </c>
      <c r="E101" s="34">
        <v>1</v>
      </c>
      <c r="F101" s="58">
        <v>100</v>
      </c>
      <c r="G101" s="58">
        <v>100</v>
      </c>
      <c r="H101" s="5"/>
    </row>
    <row r="102" spans="1:8" ht="15.75" x14ac:dyDescent="0.25">
      <c r="A102" s="93"/>
      <c r="B102" s="96"/>
      <c r="C102" s="57" t="s">
        <v>636</v>
      </c>
      <c r="D102" s="27" t="s">
        <v>7</v>
      </c>
      <c r="E102" s="34">
        <v>3</v>
      </c>
      <c r="F102" s="58">
        <v>50</v>
      </c>
      <c r="G102" s="58">
        <v>150</v>
      </c>
      <c r="H102" s="5"/>
    </row>
    <row r="103" spans="1:8" ht="15.75" x14ac:dyDescent="0.25">
      <c r="A103" s="93"/>
      <c r="B103" s="96"/>
      <c r="C103" s="57" t="s">
        <v>660</v>
      </c>
      <c r="D103" s="27" t="s">
        <v>7</v>
      </c>
      <c r="E103" s="34">
        <v>12</v>
      </c>
      <c r="F103" s="58">
        <v>15</v>
      </c>
      <c r="G103" s="58">
        <v>180</v>
      </c>
      <c r="H103" s="5"/>
    </row>
    <row r="104" spans="1:8" ht="15.75" x14ac:dyDescent="0.25">
      <c r="A104" s="93"/>
      <c r="B104" s="96"/>
      <c r="C104" s="57" t="s">
        <v>661</v>
      </c>
      <c r="D104" s="27" t="s">
        <v>7</v>
      </c>
      <c r="E104" s="34">
        <v>22</v>
      </c>
      <c r="F104" s="58">
        <v>10</v>
      </c>
      <c r="G104" s="58">
        <v>220</v>
      </c>
      <c r="H104" s="5"/>
    </row>
    <row r="105" spans="1:8" ht="15.75" x14ac:dyDescent="0.25">
      <c r="A105" s="93"/>
      <c r="B105" s="96"/>
      <c r="C105" s="57" t="s">
        <v>16</v>
      </c>
      <c r="D105" s="27" t="s">
        <v>163</v>
      </c>
      <c r="E105" s="34">
        <v>1</v>
      </c>
      <c r="F105" s="58">
        <v>200</v>
      </c>
      <c r="G105" s="58">
        <v>200</v>
      </c>
      <c r="H105" s="5"/>
    </row>
    <row r="106" spans="1:8" ht="15.75" x14ac:dyDescent="0.25">
      <c r="A106" s="93"/>
      <c r="B106" s="96"/>
      <c r="C106" s="57" t="s">
        <v>662</v>
      </c>
      <c r="D106" s="27" t="s">
        <v>7</v>
      </c>
      <c r="E106" s="34">
        <v>7</v>
      </c>
      <c r="F106" s="58">
        <v>20</v>
      </c>
      <c r="G106" s="58">
        <v>140</v>
      </c>
      <c r="H106" s="5"/>
    </row>
    <row r="107" spans="1:8" ht="15.75" x14ac:dyDescent="0.25">
      <c r="A107" s="93"/>
      <c r="B107" s="96"/>
      <c r="C107" s="57" t="s">
        <v>663</v>
      </c>
      <c r="D107" s="27" t="s">
        <v>163</v>
      </c>
      <c r="E107" s="34">
        <v>2</v>
      </c>
      <c r="F107" s="58">
        <v>30</v>
      </c>
      <c r="G107" s="58">
        <v>60</v>
      </c>
      <c r="H107" s="5"/>
    </row>
    <row r="108" spans="1:8" ht="15.75" x14ac:dyDescent="0.25">
      <c r="A108" s="93"/>
      <c r="B108" s="96"/>
      <c r="C108" s="57" t="s">
        <v>14</v>
      </c>
      <c r="D108" s="27" t="s">
        <v>163</v>
      </c>
      <c r="E108" s="34">
        <v>7</v>
      </c>
      <c r="F108" s="58">
        <v>30</v>
      </c>
      <c r="G108" s="58">
        <v>210</v>
      </c>
      <c r="H108" s="5"/>
    </row>
    <row r="109" spans="1:8" ht="15.75" x14ac:dyDescent="0.25">
      <c r="A109" s="93"/>
      <c r="B109" s="96"/>
      <c r="C109" s="57" t="s">
        <v>664</v>
      </c>
      <c r="D109" s="27" t="s">
        <v>163</v>
      </c>
      <c r="E109" s="34">
        <v>10</v>
      </c>
      <c r="F109" s="58"/>
      <c r="G109" s="58">
        <v>1736.77</v>
      </c>
      <c r="H109" s="5"/>
    </row>
    <row r="110" spans="1:8" ht="15.75" x14ac:dyDescent="0.25">
      <c r="A110" s="93"/>
      <c r="B110" s="96"/>
      <c r="C110" s="57" t="s">
        <v>539</v>
      </c>
      <c r="D110" s="27" t="s">
        <v>7</v>
      </c>
      <c r="E110" s="34">
        <v>10</v>
      </c>
      <c r="F110" s="58">
        <v>682.65</v>
      </c>
      <c r="G110" s="58">
        <v>6826.5</v>
      </c>
      <c r="H110" s="5"/>
    </row>
    <row r="111" spans="1:8" ht="15.75" x14ac:dyDescent="0.25">
      <c r="A111" s="93"/>
      <c r="B111" s="96"/>
      <c r="C111" s="57" t="s">
        <v>65</v>
      </c>
      <c r="D111" s="27" t="s">
        <v>7</v>
      </c>
      <c r="E111" s="34">
        <v>1</v>
      </c>
      <c r="F111" s="58">
        <v>6529.45</v>
      </c>
      <c r="G111" s="58">
        <v>6529.45</v>
      </c>
      <c r="H111" s="5"/>
    </row>
    <row r="112" spans="1:8" ht="15.75" x14ac:dyDescent="0.25">
      <c r="A112" s="93"/>
      <c r="B112" s="96"/>
      <c r="C112" s="57" t="s">
        <v>666</v>
      </c>
      <c r="D112" s="27" t="s">
        <v>7</v>
      </c>
      <c r="E112" s="34">
        <v>8</v>
      </c>
      <c r="F112" s="58">
        <v>164.65</v>
      </c>
      <c r="G112" s="58">
        <v>1317.2</v>
      </c>
      <c r="H112" s="5"/>
    </row>
    <row r="113" spans="1:8" ht="15.75" x14ac:dyDescent="0.25">
      <c r="A113" s="93"/>
      <c r="B113" s="96"/>
      <c r="C113" s="57" t="s">
        <v>668</v>
      </c>
      <c r="D113" s="27" t="s">
        <v>7</v>
      </c>
      <c r="E113" s="34">
        <v>4</v>
      </c>
      <c r="F113" s="58">
        <v>190.92</v>
      </c>
      <c r="G113" s="58">
        <v>763.68</v>
      </c>
      <c r="H113" s="5"/>
    </row>
    <row r="114" spans="1:8" ht="15.75" x14ac:dyDescent="0.25">
      <c r="A114" s="93"/>
      <c r="B114" s="96"/>
      <c r="C114" s="30" t="s">
        <v>669</v>
      </c>
      <c r="D114" s="27" t="s">
        <v>7</v>
      </c>
      <c r="E114" s="4">
        <v>10</v>
      </c>
      <c r="F114" s="32">
        <v>955</v>
      </c>
      <c r="G114" s="32">
        <v>9550</v>
      </c>
      <c r="H114" s="5"/>
    </row>
    <row r="115" spans="1:8" ht="15.75" x14ac:dyDescent="0.25">
      <c r="A115" s="94"/>
      <c r="B115" s="97"/>
      <c r="C115" s="30" t="s">
        <v>667</v>
      </c>
      <c r="D115" s="27" t="s">
        <v>7</v>
      </c>
      <c r="E115" s="4">
        <v>5</v>
      </c>
      <c r="F115" s="32">
        <v>255.67</v>
      </c>
      <c r="G115" s="32">
        <v>1278.3499999999999</v>
      </c>
      <c r="H115" s="5"/>
    </row>
    <row r="116" spans="1:8" ht="25.5" x14ac:dyDescent="0.25">
      <c r="A116" s="40"/>
      <c r="B116" s="98"/>
      <c r="C116" s="8"/>
      <c r="D116" s="7"/>
      <c r="E116" s="9"/>
      <c r="F116" s="61"/>
      <c r="G116" s="61">
        <f>SUM(G94:G115)</f>
        <v>30032.79</v>
      </c>
      <c r="H116" s="8"/>
    </row>
    <row r="117" spans="1:8" ht="15.75" x14ac:dyDescent="0.25">
      <c r="A117" s="92">
        <v>3</v>
      </c>
      <c r="B117" s="88" t="s">
        <v>22</v>
      </c>
      <c r="C117" s="30" t="s">
        <v>347</v>
      </c>
      <c r="D117" s="27" t="s">
        <v>7</v>
      </c>
      <c r="E117" s="4">
        <v>1</v>
      </c>
      <c r="F117" s="32">
        <v>8876.2999999999993</v>
      </c>
      <c r="G117" s="32">
        <v>8876.2999999999993</v>
      </c>
      <c r="H117" s="5" t="s">
        <v>397</v>
      </c>
    </row>
    <row r="118" spans="1:8" ht="15.75" x14ac:dyDescent="0.25">
      <c r="A118" s="93"/>
      <c r="B118" s="89"/>
      <c r="C118" s="30" t="s">
        <v>649</v>
      </c>
      <c r="D118" s="27" t="s">
        <v>7</v>
      </c>
      <c r="E118" s="4">
        <v>1</v>
      </c>
      <c r="F118" s="32">
        <v>166.05</v>
      </c>
      <c r="G118" s="32">
        <v>166.5</v>
      </c>
      <c r="H118" s="5" t="s">
        <v>397</v>
      </c>
    </row>
    <row r="119" spans="1:8" ht="15.75" x14ac:dyDescent="0.25">
      <c r="A119" s="93"/>
      <c r="B119" s="89"/>
      <c r="C119" s="30" t="s">
        <v>650</v>
      </c>
      <c r="D119" s="27" t="s">
        <v>7</v>
      </c>
      <c r="E119" s="4">
        <v>1</v>
      </c>
      <c r="F119" s="32">
        <v>83.62</v>
      </c>
      <c r="G119" s="32">
        <v>83.62</v>
      </c>
      <c r="H119" s="5" t="s">
        <v>397</v>
      </c>
    </row>
    <row r="120" spans="1:8" ht="15.75" x14ac:dyDescent="0.25">
      <c r="A120" s="93"/>
      <c r="B120" s="89"/>
      <c r="C120" s="30" t="s">
        <v>651</v>
      </c>
      <c r="D120" s="27" t="s">
        <v>7</v>
      </c>
      <c r="E120" s="4">
        <v>1</v>
      </c>
      <c r="F120" s="32">
        <v>187.96</v>
      </c>
      <c r="G120" s="32">
        <v>187.96</v>
      </c>
      <c r="H120" s="5" t="s">
        <v>397</v>
      </c>
    </row>
    <row r="121" spans="1:8" ht="15.75" x14ac:dyDescent="0.25">
      <c r="A121" s="93"/>
      <c r="B121" s="89"/>
      <c r="C121" s="57" t="s">
        <v>652</v>
      </c>
      <c r="D121" s="27" t="s">
        <v>7</v>
      </c>
      <c r="E121" s="34">
        <v>36</v>
      </c>
      <c r="F121" s="58">
        <v>8.32</v>
      </c>
      <c r="G121" s="58">
        <v>299.52</v>
      </c>
      <c r="H121" s="5"/>
    </row>
    <row r="122" spans="1:8" ht="15.75" x14ac:dyDescent="0.25">
      <c r="A122" s="93"/>
      <c r="B122" s="89"/>
      <c r="C122" s="57" t="s">
        <v>653</v>
      </c>
      <c r="D122" s="27" t="s">
        <v>7</v>
      </c>
      <c r="E122" s="34">
        <v>22</v>
      </c>
      <c r="F122" s="58">
        <v>10</v>
      </c>
      <c r="G122" s="33">
        <v>220</v>
      </c>
      <c r="H122" s="5"/>
    </row>
    <row r="123" spans="1:8" ht="15.75" x14ac:dyDescent="0.25">
      <c r="A123" s="93"/>
      <c r="B123" s="89"/>
      <c r="C123" s="57" t="s">
        <v>654</v>
      </c>
      <c r="D123" s="27" t="s">
        <v>7</v>
      </c>
      <c r="E123" s="34">
        <v>6</v>
      </c>
      <c r="F123" s="58">
        <v>20</v>
      </c>
      <c r="G123" s="33">
        <v>120</v>
      </c>
      <c r="H123" s="5"/>
    </row>
    <row r="124" spans="1:8" ht="15.75" x14ac:dyDescent="0.25">
      <c r="A124" s="93"/>
      <c r="B124" s="89"/>
      <c r="C124" s="57" t="s">
        <v>655</v>
      </c>
      <c r="D124" s="27" t="s">
        <v>7</v>
      </c>
      <c r="E124" s="34">
        <v>4</v>
      </c>
      <c r="F124" s="58">
        <v>30</v>
      </c>
      <c r="G124" s="32">
        <v>120</v>
      </c>
      <c r="H124" s="5"/>
    </row>
    <row r="125" spans="1:8" ht="15.75" x14ac:dyDescent="0.25">
      <c r="A125" s="93"/>
      <c r="B125" s="89"/>
      <c r="C125" s="57" t="s">
        <v>656</v>
      </c>
      <c r="D125" s="27" t="s">
        <v>7</v>
      </c>
      <c r="E125" s="34">
        <v>1</v>
      </c>
      <c r="F125" s="58">
        <v>31</v>
      </c>
      <c r="G125" s="32">
        <v>31</v>
      </c>
      <c r="H125" s="5"/>
    </row>
    <row r="126" spans="1:8" ht="15.75" x14ac:dyDescent="0.25">
      <c r="A126" s="93"/>
      <c r="B126" s="89"/>
      <c r="C126" s="57" t="s">
        <v>657</v>
      </c>
      <c r="D126" s="27" t="s">
        <v>7</v>
      </c>
      <c r="E126" s="34">
        <v>12</v>
      </c>
      <c r="F126" s="58">
        <v>10</v>
      </c>
      <c r="G126" s="32">
        <v>120</v>
      </c>
      <c r="H126" s="5"/>
    </row>
    <row r="127" spans="1:8" ht="15.75" x14ac:dyDescent="0.25">
      <c r="A127" s="93"/>
      <c r="B127" s="89"/>
      <c r="C127" s="57" t="s">
        <v>658</v>
      </c>
      <c r="D127" s="27" t="s">
        <v>7</v>
      </c>
      <c r="E127" s="34">
        <v>2</v>
      </c>
      <c r="F127" s="58">
        <v>30</v>
      </c>
      <c r="G127" s="32">
        <v>60</v>
      </c>
      <c r="H127" s="5"/>
    </row>
    <row r="128" spans="1:8" ht="15.75" x14ac:dyDescent="0.25">
      <c r="A128" s="93"/>
      <c r="B128" s="89"/>
      <c r="C128" s="57" t="s">
        <v>659</v>
      </c>
      <c r="D128" s="27" t="s">
        <v>7</v>
      </c>
      <c r="E128" s="34">
        <v>2</v>
      </c>
      <c r="F128" s="58">
        <v>100</v>
      </c>
      <c r="G128" s="32">
        <v>200</v>
      </c>
      <c r="H128" s="5"/>
    </row>
    <row r="129" spans="1:8" ht="15.75" x14ac:dyDescent="0.25">
      <c r="A129" s="93"/>
      <c r="B129" s="89"/>
      <c r="C129" s="57" t="s">
        <v>636</v>
      </c>
      <c r="D129" s="27" t="s">
        <v>7</v>
      </c>
      <c r="E129" s="34">
        <v>4</v>
      </c>
      <c r="F129" s="58">
        <v>50</v>
      </c>
      <c r="G129" s="32">
        <v>200</v>
      </c>
      <c r="H129" s="5"/>
    </row>
    <row r="130" spans="1:8" ht="15.75" x14ac:dyDescent="0.25">
      <c r="A130" s="93"/>
      <c r="B130" s="89"/>
      <c r="C130" s="57" t="s">
        <v>660</v>
      </c>
      <c r="D130" s="27" t="s">
        <v>7</v>
      </c>
      <c r="E130" s="34">
        <v>12</v>
      </c>
      <c r="F130" s="58">
        <v>15</v>
      </c>
      <c r="G130" s="32">
        <v>180</v>
      </c>
      <c r="H130" s="5"/>
    </row>
    <row r="131" spans="1:8" ht="15.75" x14ac:dyDescent="0.25">
      <c r="A131" s="93"/>
      <c r="B131" s="89"/>
      <c r="C131" s="57" t="s">
        <v>661</v>
      </c>
      <c r="D131" s="27" t="s">
        <v>7</v>
      </c>
      <c r="E131" s="34">
        <v>22</v>
      </c>
      <c r="F131" s="58">
        <v>10</v>
      </c>
      <c r="G131" s="32">
        <v>220</v>
      </c>
      <c r="H131" s="5"/>
    </row>
    <row r="132" spans="1:8" ht="15.75" x14ac:dyDescent="0.25">
      <c r="A132" s="93"/>
      <c r="B132" s="89"/>
      <c r="C132" s="57" t="s">
        <v>16</v>
      </c>
      <c r="D132" s="27" t="s">
        <v>163</v>
      </c>
      <c r="E132" s="34">
        <v>2</v>
      </c>
      <c r="F132" s="58">
        <v>200</v>
      </c>
      <c r="G132" s="32">
        <v>400</v>
      </c>
      <c r="H132" s="5"/>
    </row>
    <row r="133" spans="1:8" ht="15.75" x14ac:dyDescent="0.25">
      <c r="A133" s="93"/>
      <c r="B133" s="89"/>
      <c r="C133" s="57" t="s">
        <v>662</v>
      </c>
      <c r="D133" s="27" t="s">
        <v>7</v>
      </c>
      <c r="E133" s="34">
        <v>7</v>
      </c>
      <c r="F133" s="58">
        <v>20</v>
      </c>
      <c r="G133" s="32">
        <v>140</v>
      </c>
      <c r="H133" s="5"/>
    </row>
    <row r="134" spans="1:8" ht="15.75" x14ac:dyDescent="0.25">
      <c r="A134" s="93"/>
      <c r="B134" s="89"/>
      <c r="C134" s="57" t="s">
        <v>663</v>
      </c>
      <c r="D134" s="27" t="s">
        <v>163</v>
      </c>
      <c r="E134" s="34">
        <v>2</v>
      </c>
      <c r="F134" s="58">
        <v>30</v>
      </c>
      <c r="G134" s="32">
        <v>60</v>
      </c>
      <c r="H134" s="5"/>
    </row>
    <row r="135" spans="1:8" ht="15.75" x14ac:dyDescent="0.25">
      <c r="A135" s="93"/>
      <c r="B135" s="89"/>
      <c r="C135" s="57" t="s">
        <v>14</v>
      </c>
      <c r="D135" s="27" t="s">
        <v>163</v>
      </c>
      <c r="E135" s="34">
        <v>7</v>
      </c>
      <c r="F135" s="58">
        <v>30</v>
      </c>
      <c r="G135" s="32">
        <v>210</v>
      </c>
      <c r="H135" s="5"/>
    </row>
    <row r="136" spans="1:8" ht="15.75" x14ac:dyDescent="0.25">
      <c r="A136" s="93"/>
      <c r="B136" s="89"/>
      <c r="C136" s="57" t="s">
        <v>664</v>
      </c>
      <c r="D136" s="27" t="s">
        <v>163</v>
      </c>
      <c r="E136" s="34">
        <v>10</v>
      </c>
      <c r="F136" s="58"/>
      <c r="G136" s="32">
        <f>847.95+524.82+364</f>
        <v>1736.77</v>
      </c>
      <c r="H136" s="5"/>
    </row>
    <row r="137" spans="1:8" ht="15.75" x14ac:dyDescent="0.25">
      <c r="A137" s="93"/>
      <c r="B137" s="89"/>
      <c r="C137" s="57" t="s">
        <v>539</v>
      </c>
      <c r="D137" s="27" t="s">
        <v>7</v>
      </c>
      <c r="E137" s="34">
        <v>10</v>
      </c>
      <c r="F137" s="58">
        <v>682.65</v>
      </c>
      <c r="G137" s="58">
        <v>6826.5</v>
      </c>
      <c r="H137" s="5"/>
    </row>
    <row r="138" spans="1:8" ht="15.75" x14ac:dyDescent="0.25">
      <c r="A138" s="93"/>
      <c r="B138" s="89"/>
      <c r="C138" s="57" t="s">
        <v>65</v>
      </c>
      <c r="D138" s="27" t="s">
        <v>7</v>
      </c>
      <c r="E138" s="34">
        <v>1</v>
      </c>
      <c r="F138" s="58">
        <v>6529.45</v>
      </c>
      <c r="G138" s="58">
        <v>6529.45</v>
      </c>
      <c r="H138" s="5"/>
    </row>
    <row r="139" spans="1:8" ht="15.75" x14ac:dyDescent="0.25">
      <c r="A139" s="93"/>
      <c r="B139" s="89"/>
      <c r="C139" s="57" t="s">
        <v>666</v>
      </c>
      <c r="D139" s="27" t="s">
        <v>7</v>
      </c>
      <c r="E139" s="34">
        <v>8</v>
      </c>
      <c r="F139" s="58">
        <v>164.65</v>
      </c>
      <c r="G139" s="58">
        <v>1317.2</v>
      </c>
      <c r="H139" s="5"/>
    </row>
    <row r="140" spans="1:8" ht="15.75" x14ac:dyDescent="0.25">
      <c r="A140" s="93"/>
      <c r="B140" s="89"/>
      <c r="C140" s="57" t="s">
        <v>668</v>
      </c>
      <c r="D140" s="27" t="s">
        <v>7</v>
      </c>
      <c r="E140" s="34">
        <v>4</v>
      </c>
      <c r="F140" s="58">
        <v>190.92</v>
      </c>
      <c r="G140" s="58">
        <v>763.68</v>
      </c>
      <c r="H140" s="5"/>
    </row>
    <row r="141" spans="1:8" ht="15.75" x14ac:dyDescent="0.25">
      <c r="A141" s="93"/>
      <c r="B141" s="89"/>
      <c r="C141" s="30" t="s">
        <v>669</v>
      </c>
      <c r="D141" s="27" t="s">
        <v>7</v>
      </c>
      <c r="E141" s="4">
        <v>10</v>
      </c>
      <c r="F141" s="32">
        <v>955</v>
      </c>
      <c r="G141" s="32">
        <v>9550</v>
      </c>
      <c r="H141" s="5"/>
    </row>
    <row r="142" spans="1:8" ht="15.75" x14ac:dyDescent="0.25">
      <c r="A142" s="94"/>
      <c r="B142" s="90"/>
      <c r="C142" s="30" t="s">
        <v>667</v>
      </c>
      <c r="D142" s="27" t="s">
        <v>7</v>
      </c>
      <c r="E142" s="4">
        <v>5</v>
      </c>
      <c r="F142" s="32">
        <v>255.67</v>
      </c>
      <c r="G142" s="32">
        <v>1278.3499999999999</v>
      </c>
      <c r="H142" s="5"/>
    </row>
    <row r="143" spans="1:8" ht="25.5" x14ac:dyDescent="0.25">
      <c r="A143" s="40"/>
      <c r="B143" s="98"/>
      <c r="C143" s="8" t="s">
        <v>9</v>
      </c>
      <c r="D143" s="7"/>
      <c r="E143" s="9"/>
      <c r="F143" s="61"/>
      <c r="G143" s="61">
        <f>SUM(G117:G142)</f>
        <v>39896.85</v>
      </c>
      <c r="H143" s="10">
        <f>SUM(H117:H120)</f>
        <v>0</v>
      </c>
    </row>
    <row r="144" spans="1:8" ht="15.75" x14ac:dyDescent="0.25">
      <c r="A144" s="82">
        <v>4</v>
      </c>
      <c r="B144" s="88" t="s">
        <v>24</v>
      </c>
      <c r="C144" s="30" t="s">
        <v>347</v>
      </c>
      <c r="D144" s="27" t="s">
        <v>7</v>
      </c>
      <c r="E144" s="4">
        <v>3</v>
      </c>
      <c r="F144" s="32">
        <v>8876.2999999999993</v>
      </c>
      <c r="G144" s="32">
        <v>26628.9</v>
      </c>
      <c r="H144" s="5" t="s">
        <v>397</v>
      </c>
    </row>
    <row r="145" spans="1:8" ht="15.75" x14ac:dyDescent="0.25">
      <c r="A145" s="87"/>
      <c r="B145" s="89"/>
      <c r="C145" s="30" t="s">
        <v>649</v>
      </c>
      <c r="D145" s="27" t="s">
        <v>7</v>
      </c>
      <c r="E145" s="4">
        <v>3</v>
      </c>
      <c r="F145" s="32">
        <v>166.05</v>
      </c>
      <c r="G145" s="32">
        <v>499.5</v>
      </c>
      <c r="H145" s="5" t="s">
        <v>397</v>
      </c>
    </row>
    <row r="146" spans="1:8" ht="15.75" x14ac:dyDescent="0.25">
      <c r="A146" s="87"/>
      <c r="B146" s="89"/>
      <c r="C146" s="30" t="s">
        <v>650</v>
      </c>
      <c r="D146" s="27" t="s">
        <v>7</v>
      </c>
      <c r="E146" s="4">
        <v>3</v>
      </c>
      <c r="F146" s="32">
        <v>83.62</v>
      </c>
      <c r="G146" s="32">
        <v>250.86</v>
      </c>
      <c r="H146" s="5"/>
    </row>
    <row r="147" spans="1:8" ht="15.75" x14ac:dyDescent="0.25">
      <c r="A147" s="87"/>
      <c r="B147" s="89"/>
      <c r="C147" s="30" t="s">
        <v>651</v>
      </c>
      <c r="D147" s="27" t="s">
        <v>7</v>
      </c>
      <c r="E147" s="4">
        <v>3</v>
      </c>
      <c r="F147" s="32">
        <v>187.96</v>
      </c>
      <c r="G147" s="32">
        <v>563.88</v>
      </c>
      <c r="H147" s="5"/>
    </row>
    <row r="148" spans="1:8" ht="15.75" x14ac:dyDescent="0.25">
      <c r="A148" s="87"/>
      <c r="B148" s="89"/>
      <c r="C148" s="57" t="s">
        <v>652</v>
      </c>
      <c r="D148" s="27" t="s">
        <v>7</v>
      </c>
      <c r="E148" s="34">
        <v>12</v>
      </c>
      <c r="F148" s="58">
        <v>8.32</v>
      </c>
      <c r="G148" s="58">
        <v>99.84</v>
      </c>
      <c r="H148" s="5"/>
    </row>
    <row r="149" spans="1:8" ht="15.75" x14ac:dyDescent="0.25">
      <c r="A149" s="87"/>
      <c r="B149" s="89"/>
      <c r="C149" s="57" t="s">
        <v>653</v>
      </c>
      <c r="D149" s="27" t="s">
        <v>7</v>
      </c>
      <c r="E149" s="34">
        <v>22</v>
      </c>
      <c r="F149" s="58">
        <v>10</v>
      </c>
      <c r="G149" s="33">
        <v>220</v>
      </c>
      <c r="H149" s="5"/>
    </row>
    <row r="150" spans="1:8" ht="15.75" x14ac:dyDescent="0.25">
      <c r="A150" s="87"/>
      <c r="B150" s="89"/>
      <c r="C150" s="57" t="s">
        <v>654</v>
      </c>
      <c r="D150" s="27" t="s">
        <v>7</v>
      </c>
      <c r="E150" s="34">
        <v>6</v>
      </c>
      <c r="F150" s="58">
        <v>20</v>
      </c>
      <c r="G150" s="33">
        <v>120</v>
      </c>
      <c r="H150" s="5"/>
    </row>
    <row r="151" spans="1:8" ht="15.75" x14ac:dyDescent="0.25">
      <c r="A151" s="87"/>
      <c r="B151" s="89"/>
      <c r="C151" s="57" t="s">
        <v>655</v>
      </c>
      <c r="D151" s="27" t="s">
        <v>7</v>
      </c>
      <c r="E151" s="34">
        <v>4</v>
      </c>
      <c r="F151" s="58">
        <v>30</v>
      </c>
      <c r="G151" s="33">
        <v>120</v>
      </c>
      <c r="H151" s="5"/>
    </row>
    <row r="152" spans="1:8" ht="15.75" x14ac:dyDescent="0.25">
      <c r="A152" s="87"/>
      <c r="B152" s="89"/>
      <c r="C152" s="57" t="s">
        <v>656</v>
      </c>
      <c r="D152" s="27" t="s">
        <v>7</v>
      </c>
      <c r="E152" s="34">
        <v>1</v>
      </c>
      <c r="F152" s="58">
        <v>31</v>
      </c>
      <c r="G152" s="33">
        <v>31</v>
      </c>
      <c r="H152" s="5"/>
    </row>
    <row r="153" spans="1:8" ht="15.75" x14ac:dyDescent="0.25">
      <c r="A153" s="87"/>
      <c r="B153" s="89"/>
      <c r="C153" s="57" t="s">
        <v>657</v>
      </c>
      <c r="D153" s="27" t="s">
        <v>7</v>
      </c>
      <c r="E153" s="34">
        <v>12</v>
      </c>
      <c r="F153" s="58">
        <v>10</v>
      </c>
      <c r="G153" s="33">
        <v>120</v>
      </c>
      <c r="H153" s="5"/>
    </row>
    <row r="154" spans="1:8" ht="15.75" x14ac:dyDescent="0.25">
      <c r="A154" s="87"/>
      <c r="B154" s="89"/>
      <c r="C154" s="57" t="s">
        <v>658</v>
      </c>
      <c r="D154" s="27" t="s">
        <v>7</v>
      </c>
      <c r="E154" s="34">
        <v>2</v>
      </c>
      <c r="F154" s="58">
        <v>30</v>
      </c>
      <c r="G154" s="33">
        <v>60</v>
      </c>
      <c r="H154" s="5"/>
    </row>
    <row r="155" spans="1:8" ht="15.75" x14ac:dyDescent="0.25">
      <c r="A155" s="87"/>
      <c r="B155" s="89"/>
      <c r="C155" s="57" t="s">
        <v>659</v>
      </c>
      <c r="D155" s="27" t="s">
        <v>7</v>
      </c>
      <c r="E155" s="34">
        <v>1</v>
      </c>
      <c r="F155" s="58">
        <v>100</v>
      </c>
      <c r="G155" s="33">
        <v>100</v>
      </c>
      <c r="H155" s="5"/>
    </row>
    <row r="156" spans="1:8" ht="15.75" x14ac:dyDescent="0.25">
      <c r="A156" s="87"/>
      <c r="B156" s="89"/>
      <c r="C156" s="57" t="s">
        <v>636</v>
      </c>
      <c r="D156" s="27" t="s">
        <v>7</v>
      </c>
      <c r="E156" s="34">
        <v>4</v>
      </c>
      <c r="F156" s="58">
        <v>50</v>
      </c>
      <c r="G156" s="33">
        <v>200</v>
      </c>
      <c r="H156" s="5"/>
    </row>
    <row r="157" spans="1:8" ht="15.75" x14ac:dyDescent="0.25">
      <c r="A157" s="87"/>
      <c r="B157" s="89"/>
      <c r="C157" s="57" t="s">
        <v>660</v>
      </c>
      <c r="D157" s="27" t="s">
        <v>7</v>
      </c>
      <c r="E157" s="34">
        <v>12</v>
      </c>
      <c r="F157" s="58">
        <v>15</v>
      </c>
      <c r="G157" s="33">
        <v>180</v>
      </c>
      <c r="H157" s="5"/>
    </row>
    <row r="158" spans="1:8" ht="15.75" x14ac:dyDescent="0.25">
      <c r="A158" s="87"/>
      <c r="B158" s="89"/>
      <c r="C158" s="57" t="s">
        <v>661</v>
      </c>
      <c r="D158" s="27" t="s">
        <v>7</v>
      </c>
      <c r="E158" s="34">
        <v>22</v>
      </c>
      <c r="F158" s="58">
        <v>10</v>
      </c>
      <c r="G158" s="33">
        <v>220</v>
      </c>
      <c r="H158" s="5"/>
    </row>
    <row r="159" spans="1:8" ht="15.75" x14ac:dyDescent="0.25">
      <c r="A159" s="87"/>
      <c r="B159" s="89"/>
      <c r="C159" s="57" t="s">
        <v>16</v>
      </c>
      <c r="D159" s="27" t="s">
        <v>163</v>
      </c>
      <c r="E159" s="34">
        <v>1</v>
      </c>
      <c r="F159" s="58">
        <v>200</v>
      </c>
      <c r="G159" s="33">
        <v>200</v>
      </c>
      <c r="H159" s="5"/>
    </row>
    <row r="160" spans="1:8" ht="15.75" x14ac:dyDescent="0.25">
      <c r="A160" s="87"/>
      <c r="B160" s="89"/>
      <c r="C160" s="57" t="s">
        <v>662</v>
      </c>
      <c r="D160" s="27" t="s">
        <v>7</v>
      </c>
      <c r="E160" s="34">
        <v>7</v>
      </c>
      <c r="F160" s="58">
        <v>20</v>
      </c>
      <c r="G160" s="33">
        <v>140</v>
      </c>
      <c r="H160" s="5"/>
    </row>
    <row r="161" spans="1:8" ht="15.75" x14ac:dyDescent="0.25">
      <c r="A161" s="87"/>
      <c r="B161" s="89"/>
      <c r="C161" s="57" t="s">
        <v>663</v>
      </c>
      <c r="D161" s="27" t="s">
        <v>163</v>
      </c>
      <c r="E161" s="34">
        <v>2</v>
      </c>
      <c r="F161" s="58">
        <v>30</v>
      </c>
      <c r="G161" s="33">
        <v>60</v>
      </c>
      <c r="H161" s="5"/>
    </row>
    <row r="162" spans="1:8" ht="15.75" x14ac:dyDescent="0.25">
      <c r="A162" s="87"/>
      <c r="B162" s="89"/>
      <c r="C162" s="57" t="s">
        <v>14</v>
      </c>
      <c r="D162" s="27" t="s">
        <v>163</v>
      </c>
      <c r="E162" s="34">
        <v>7</v>
      </c>
      <c r="F162" s="58">
        <v>30</v>
      </c>
      <c r="G162" s="33">
        <v>210</v>
      </c>
      <c r="H162" s="5"/>
    </row>
    <row r="163" spans="1:8" ht="15.75" x14ac:dyDescent="0.25">
      <c r="A163" s="87"/>
      <c r="B163" s="89"/>
      <c r="C163" s="57" t="s">
        <v>664</v>
      </c>
      <c r="D163" s="27" t="s">
        <v>163</v>
      </c>
      <c r="E163" s="34">
        <v>10</v>
      </c>
      <c r="F163" s="58"/>
      <c r="G163" s="33">
        <f>847.95+524.82+364</f>
        <v>1736.77</v>
      </c>
      <c r="H163" s="5"/>
    </row>
    <row r="164" spans="1:8" ht="15.75" x14ac:dyDescent="0.25">
      <c r="A164" s="87"/>
      <c r="B164" s="89"/>
      <c r="C164" s="57" t="s">
        <v>539</v>
      </c>
      <c r="D164" s="27" t="s">
        <v>7</v>
      </c>
      <c r="E164" s="34">
        <v>450</v>
      </c>
      <c r="F164" s="58">
        <v>682.65</v>
      </c>
      <c r="G164" s="58">
        <v>307192.5</v>
      </c>
      <c r="H164" s="5"/>
    </row>
    <row r="165" spans="1:8" ht="15.75" x14ac:dyDescent="0.25">
      <c r="A165" s="87"/>
      <c r="B165" s="89"/>
      <c r="C165" s="57" t="s">
        <v>65</v>
      </c>
      <c r="D165" s="27" t="s">
        <v>7</v>
      </c>
      <c r="E165" s="34">
        <v>1</v>
      </c>
      <c r="F165" s="58">
        <v>6529.45</v>
      </c>
      <c r="G165" s="58">
        <v>6529.45</v>
      </c>
      <c r="H165" s="5"/>
    </row>
    <row r="166" spans="1:8" ht="15.75" x14ac:dyDescent="0.25">
      <c r="A166" s="87"/>
      <c r="B166" s="89"/>
      <c r="C166" s="57" t="s">
        <v>666</v>
      </c>
      <c r="D166" s="27" t="s">
        <v>7</v>
      </c>
      <c r="E166" s="34">
        <v>8</v>
      </c>
      <c r="F166" s="58">
        <v>164.65</v>
      </c>
      <c r="G166" s="58">
        <v>1317.2</v>
      </c>
      <c r="H166" s="5"/>
    </row>
    <row r="167" spans="1:8" ht="15.75" x14ac:dyDescent="0.25">
      <c r="A167" s="87"/>
      <c r="B167" s="89"/>
      <c r="C167" s="57" t="s">
        <v>668</v>
      </c>
      <c r="D167" s="27" t="s">
        <v>7</v>
      </c>
      <c r="E167" s="34">
        <v>4</v>
      </c>
      <c r="F167" s="58">
        <v>190.92</v>
      </c>
      <c r="G167" s="58">
        <v>763.68</v>
      </c>
      <c r="H167" s="5"/>
    </row>
    <row r="168" spans="1:8" ht="15.75" x14ac:dyDescent="0.25">
      <c r="A168" s="87"/>
      <c r="B168" s="89"/>
      <c r="C168" s="30" t="s">
        <v>669</v>
      </c>
      <c r="D168" s="27" t="s">
        <v>7</v>
      </c>
      <c r="E168" s="4">
        <v>10</v>
      </c>
      <c r="F168" s="32">
        <v>955</v>
      </c>
      <c r="G168" s="32">
        <v>9550</v>
      </c>
      <c r="H168" s="5"/>
    </row>
    <row r="169" spans="1:8" ht="15.75" x14ac:dyDescent="0.25">
      <c r="A169" s="87"/>
      <c r="B169" s="89"/>
      <c r="C169" s="30" t="s">
        <v>667</v>
      </c>
      <c r="D169" s="27" t="s">
        <v>7</v>
      </c>
      <c r="E169" s="4">
        <v>5</v>
      </c>
      <c r="F169" s="32">
        <v>255.67</v>
      </c>
      <c r="G169" s="32">
        <v>1278.3499999999999</v>
      </c>
      <c r="H169" s="5"/>
    </row>
    <row r="170" spans="1:8" x14ac:dyDescent="0.25">
      <c r="A170" s="83"/>
      <c r="B170" s="90"/>
      <c r="C170" s="21" t="s">
        <v>670</v>
      </c>
      <c r="D170" s="3" t="s">
        <v>7</v>
      </c>
      <c r="E170" s="4">
        <v>1</v>
      </c>
      <c r="F170" s="32">
        <v>4950</v>
      </c>
      <c r="G170" s="32">
        <v>4950</v>
      </c>
      <c r="H170" s="5"/>
    </row>
    <row r="171" spans="1:8" ht="25.5" x14ac:dyDescent="0.25">
      <c r="A171" s="40"/>
      <c r="B171" s="98"/>
      <c r="C171" s="8" t="s">
        <v>9</v>
      </c>
      <c r="D171" s="7"/>
      <c r="E171" s="9"/>
      <c r="F171" s="61"/>
      <c r="G171" s="61">
        <f>SUM(G144:G170)</f>
        <v>363341.93</v>
      </c>
      <c r="H171" s="8"/>
    </row>
    <row r="172" spans="1:8" ht="15.75" x14ac:dyDescent="0.25">
      <c r="A172" s="92">
        <v>5</v>
      </c>
      <c r="B172" s="95" t="s">
        <v>25</v>
      </c>
      <c r="C172" s="30" t="s">
        <v>347</v>
      </c>
      <c r="D172" s="27" t="s">
        <v>7</v>
      </c>
      <c r="E172" s="4">
        <v>5</v>
      </c>
      <c r="F172" s="32">
        <v>8876.2999999999993</v>
      </c>
      <c r="G172" s="32">
        <v>44381.5</v>
      </c>
      <c r="H172" s="5" t="s">
        <v>397</v>
      </c>
    </row>
    <row r="173" spans="1:8" ht="15.75" x14ac:dyDescent="0.25">
      <c r="A173" s="93"/>
      <c r="B173" s="96"/>
      <c r="C173" s="30" t="s">
        <v>649</v>
      </c>
      <c r="D173" s="27" t="s">
        <v>7</v>
      </c>
      <c r="E173" s="4">
        <v>5</v>
      </c>
      <c r="F173" s="32">
        <v>166.05</v>
      </c>
      <c r="G173" s="32">
        <v>832.5</v>
      </c>
      <c r="H173" s="5"/>
    </row>
    <row r="174" spans="1:8" ht="15.75" x14ac:dyDescent="0.25">
      <c r="A174" s="93"/>
      <c r="B174" s="96"/>
      <c r="C174" s="30" t="s">
        <v>650</v>
      </c>
      <c r="D174" s="27" t="s">
        <v>7</v>
      </c>
      <c r="E174" s="4">
        <v>5</v>
      </c>
      <c r="F174" s="32">
        <v>83.62</v>
      </c>
      <c r="G174" s="32">
        <v>418.1</v>
      </c>
      <c r="H174" s="5"/>
    </row>
    <row r="175" spans="1:8" ht="15.75" x14ac:dyDescent="0.25">
      <c r="A175" s="93"/>
      <c r="B175" s="96"/>
      <c r="C175" s="30" t="s">
        <v>651</v>
      </c>
      <c r="D175" s="27" t="s">
        <v>7</v>
      </c>
      <c r="E175" s="4">
        <v>5</v>
      </c>
      <c r="F175" s="32">
        <v>187.96</v>
      </c>
      <c r="G175" s="32">
        <v>939.8</v>
      </c>
      <c r="H175" s="5"/>
    </row>
    <row r="176" spans="1:8" ht="15.75" x14ac:dyDescent="0.25">
      <c r="A176" s="93"/>
      <c r="B176" s="96"/>
      <c r="C176" s="57" t="s">
        <v>652</v>
      </c>
      <c r="D176" s="27" t="s">
        <v>7</v>
      </c>
      <c r="E176" s="34">
        <v>12</v>
      </c>
      <c r="F176" s="58">
        <v>8.32</v>
      </c>
      <c r="G176" s="58">
        <v>99.84</v>
      </c>
      <c r="H176" s="5"/>
    </row>
    <row r="177" spans="1:8" ht="15.75" x14ac:dyDescent="0.25">
      <c r="A177" s="93"/>
      <c r="B177" s="96"/>
      <c r="C177" s="57" t="s">
        <v>653</v>
      </c>
      <c r="D177" s="27" t="s">
        <v>7</v>
      </c>
      <c r="E177" s="34">
        <v>22</v>
      </c>
      <c r="F177" s="58">
        <v>10</v>
      </c>
      <c r="G177" s="33">
        <v>220</v>
      </c>
      <c r="H177" s="5"/>
    </row>
    <row r="178" spans="1:8" ht="15.75" x14ac:dyDescent="0.25">
      <c r="A178" s="93"/>
      <c r="B178" s="96"/>
      <c r="C178" s="57" t="s">
        <v>654</v>
      </c>
      <c r="D178" s="27" t="s">
        <v>7</v>
      </c>
      <c r="E178" s="34">
        <v>6</v>
      </c>
      <c r="F178" s="58">
        <v>20</v>
      </c>
      <c r="G178" s="33">
        <v>120</v>
      </c>
      <c r="H178" s="5"/>
    </row>
    <row r="179" spans="1:8" ht="15.75" x14ac:dyDescent="0.25">
      <c r="A179" s="93"/>
      <c r="B179" s="96"/>
      <c r="C179" s="57" t="s">
        <v>655</v>
      </c>
      <c r="D179" s="27" t="s">
        <v>7</v>
      </c>
      <c r="E179" s="34">
        <v>4</v>
      </c>
      <c r="F179" s="58">
        <v>30</v>
      </c>
      <c r="G179" s="33">
        <v>120</v>
      </c>
      <c r="H179" s="5"/>
    </row>
    <row r="180" spans="1:8" ht="15.75" x14ac:dyDescent="0.25">
      <c r="A180" s="93"/>
      <c r="B180" s="96"/>
      <c r="C180" s="57" t="s">
        <v>656</v>
      </c>
      <c r="D180" s="27" t="s">
        <v>7</v>
      </c>
      <c r="E180" s="34">
        <v>1</v>
      </c>
      <c r="F180" s="58">
        <v>31</v>
      </c>
      <c r="G180" s="33">
        <v>31</v>
      </c>
      <c r="H180" s="5"/>
    </row>
    <row r="181" spans="1:8" ht="15.75" x14ac:dyDescent="0.25">
      <c r="A181" s="93"/>
      <c r="B181" s="96"/>
      <c r="C181" s="57" t="s">
        <v>657</v>
      </c>
      <c r="D181" s="27" t="s">
        <v>7</v>
      </c>
      <c r="E181" s="34">
        <v>12</v>
      </c>
      <c r="F181" s="58">
        <v>10</v>
      </c>
      <c r="G181" s="33">
        <v>120</v>
      </c>
      <c r="H181" s="5"/>
    </row>
    <row r="182" spans="1:8" ht="15.75" x14ac:dyDescent="0.25">
      <c r="A182" s="93"/>
      <c r="B182" s="96"/>
      <c r="C182" s="57" t="s">
        <v>658</v>
      </c>
      <c r="D182" s="27" t="s">
        <v>7</v>
      </c>
      <c r="E182" s="34">
        <v>2</v>
      </c>
      <c r="F182" s="58">
        <v>30</v>
      </c>
      <c r="G182" s="33">
        <v>60</v>
      </c>
      <c r="H182" s="5"/>
    </row>
    <row r="183" spans="1:8" ht="15.75" x14ac:dyDescent="0.25">
      <c r="A183" s="93"/>
      <c r="B183" s="96"/>
      <c r="C183" s="57" t="s">
        <v>659</v>
      </c>
      <c r="D183" s="27" t="s">
        <v>7</v>
      </c>
      <c r="E183" s="34">
        <v>1</v>
      </c>
      <c r="F183" s="58">
        <v>100</v>
      </c>
      <c r="G183" s="33">
        <v>100</v>
      </c>
      <c r="H183" s="5"/>
    </row>
    <row r="184" spans="1:8" ht="15.75" x14ac:dyDescent="0.25">
      <c r="A184" s="93"/>
      <c r="B184" s="96"/>
      <c r="C184" s="57" t="s">
        <v>636</v>
      </c>
      <c r="D184" s="27" t="s">
        <v>7</v>
      </c>
      <c r="E184" s="34">
        <v>4</v>
      </c>
      <c r="F184" s="58">
        <v>50</v>
      </c>
      <c r="G184" s="33">
        <v>200</v>
      </c>
      <c r="H184" s="5"/>
    </row>
    <row r="185" spans="1:8" ht="15.75" x14ac:dyDescent="0.25">
      <c r="A185" s="93"/>
      <c r="B185" s="96"/>
      <c r="C185" s="57" t="s">
        <v>660</v>
      </c>
      <c r="D185" s="27" t="s">
        <v>7</v>
      </c>
      <c r="E185" s="34">
        <v>12</v>
      </c>
      <c r="F185" s="58">
        <v>15</v>
      </c>
      <c r="G185" s="33">
        <v>180</v>
      </c>
      <c r="H185" s="5"/>
    </row>
    <row r="186" spans="1:8" ht="15.75" x14ac:dyDescent="0.25">
      <c r="A186" s="93"/>
      <c r="B186" s="96"/>
      <c r="C186" s="57" t="s">
        <v>661</v>
      </c>
      <c r="D186" s="27" t="s">
        <v>7</v>
      </c>
      <c r="E186" s="34">
        <v>22</v>
      </c>
      <c r="F186" s="58">
        <v>10</v>
      </c>
      <c r="G186" s="33">
        <v>220</v>
      </c>
      <c r="H186" s="5"/>
    </row>
    <row r="187" spans="1:8" ht="15.75" x14ac:dyDescent="0.25">
      <c r="A187" s="93"/>
      <c r="B187" s="96"/>
      <c r="C187" s="57" t="s">
        <v>16</v>
      </c>
      <c r="D187" s="27" t="s">
        <v>163</v>
      </c>
      <c r="E187" s="34">
        <v>1</v>
      </c>
      <c r="F187" s="58">
        <v>200</v>
      </c>
      <c r="G187" s="33">
        <v>200</v>
      </c>
      <c r="H187" s="5"/>
    </row>
    <row r="188" spans="1:8" ht="15.75" x14ac:dyDescent="0.25">
      <c r="A188" s="93"/>
      <c r="B188" s="96"/>
      <c r="C188" s="57" t="s">
        <v>662</v>
      </c>
      <c r="D188" s="27" t="s">
        <v>7</v>
      </c>
      <c r="E188" s="34">
        <v>7</v>
      </c>
      <c r="F188" s="58">
        <v>20</v>
      </c>
      <c r="G188" s="33">
        <v>140</v>
      </c>
      <c r="H188" s="5"/>
    </row>
    <row r="189" spans="1:8" ht="15.75" x14ac:dyDescent="0.25">
      <c r="A189" s="93"/>
      <c r="B189" s="96"/>
      <c r="C189" s="57" t="s">
        <v>663</v>
      </c>
      <c r="D189" s="27" t="s">
        <v>163</v>
      </c>
      <c r="E189" s="34">
        <v>2</v>
      </c>
      <c r="F189" s="58">
        <v>30</v>
      </c>
      <c r="G189" s="33">
        <v>60</v>
      </c>
      <c r="H189" s="5"/>
    </row>
    <row r="190" spans="1:8" ht="15.75" x14ac:dyDescent="0.25">
      <c r="A190" s="93"/>
      <c r="B190" s="96"/>
      <c r="C190" s="57" t="s">
        <v>14</v>
      </c>
      <c r="D190" s="27" t="s">
        <v>163</v>
      </c>
      <c r="E190" s="34">
        <v>7</v>
      </c>
      <c r="F190" s="58">
        <v>30</v>
      </c>
      <c r="G190" s="33">
        <v>210</v>
      </c>
      <c r="H190" s="5"/>
    </row>
    <row r="191" spans="1:8" ht="15.75" x14ac:dyDescent="0.25">
      <c r="A191" s="93"/>
      <c r="B191" s="96"/>
      <c r="C191" s="57" t="s">
        <v>664</v>
      </c>
      <c r="D191" s="27" t="s">
        <v>163</v>
      </c>
      <c r="E191" s="34">
        <v>10</v>
      </c>
      <c r="F191" s="58"/>
      <c r="G191" s="33">
        <f>847.95+524.82+364</f>
        <v>1736.77</v>
      </c>
      <c r="H191" s="5"/>
    </row>
    <row r="192" spans="1:8" ht="15.75" x14ac:dyDescent="0.25">
      <c r="A192" s="93"/>
      <c r="B192" s="96"/>
      <c r="C192" s="57" t="s">
        <v>539</v>
      </c>
      <c r="D192" s="27" t="s">
        <v>7</v>
      </c>
      <c r="E192" s="34">
        <v>10</v>
      </c>
      <c r="F192" s="58">
        <v>682.65</v>
      </c>
      <c r="G192" s="58">
        <v>6826.5</v>
      </c>
      <c r="H192" s="5"/>
    </row>
    <row r="193" spans="1:8" ht="15.75" x14ac:dyDescent="0.25">
      <c r="A193" s="93"/>
      <c r="B193" s="96"/>
      <c r="C193" s="57" t="s">
        <v>65</v>
      </c>
      <c r="D193" s="27" t="s">
        <v>7</v>
      </c>
      <c r="E193" s="34">
        <v>1</v>
      </c>
      <c r="F193" s="58">
        <v>6529.45</v>
      </c>
      <c r="G193" s="58">
        <v>6529.45</v>
      </c>
      <c r="H193" s="5"/>
    </row>
    <row r="194" spans="1:8" ht="15.75" x14ac:dyDescent="0.25">
      <c r="A194" s="93"/>
      <c r="B194" s="96"/>
      <c r="C194" s="57" t="s">
        <v>666</v>
      </c>
      <c r="D194" s="27" t="s">
        <v>7</v>
      </c>
      <c r="E194" s="34">
        <v>8</v>
      </c>
      <c r="F194" s="58">
        <v>164.65</v>
      </c>
      <c r="G194" s="58">
        <v>1317.2</v>
      </c>
      <c r="H194" s="5"/>
    </row>
    <row r="195" spans="1:8" ht="15.75" x14ac:dyDescent="0.25">
      <c r="A195" s="93"/>
      <c r="B195" s="96"/>
      <c r="C195" s="57" t="s">
        <v>668</v>
      </c>
      <c r="D195" s="27" t="s">
        <v>7</v>
      </c>
      <c r="E195" s="34">
        <v>4</v>
      </c>
      <c r="F195" s="58">
        <v>190.92</v>
      </c>
      <c r="G195" s="58">
        <v>763.68</v>
      </c>
      <c r="H195" s="5"/>
    </row>
    <row r="196" spans="1:8" ht="15.75" x14ac:dyDescent="0.25">
      <c r="A196" s="93"/>
      <c r="B196" s="96"/>
      <c r="C196" s="30" t="s">
        <v>669</v>
      </c>
      <c r="D196" s="27" t="s">
        <v>7</v>
      </c>
      <c r="E196" s="4">
        <v>10</v>
      </c>
      <c r="F196" s="32">
        <v>955</v>
      </c>
      <c r="G196" s="32">
        <v>9550</v>
      </c>
      <c r="H196" s="5"/>
    </row>
    <row r="197" spans="1:8" ht="15.75" x14ac:dyDescent="0.25">
      <c r="A197" s="94"/>
      <c r="B197" s="97"/>
      <c r="C197" s="30" t="s">
        <v>667</v>
      </c>
      <c r="D197" s="27" t="s">
        <v>7</v>
      </c>
      <c r="E197" s="4">
        <v>5</v>
      </c>
      <c r="F197" s="32">
        <v>255.67</v>
      </c>
      <c r="G197" s="32">
        <v>1278.3499999999999</v>
      </c>
      <c r="H197" s="5"/>
    </row>
    <row r="198" spans="1:8" ht="25.5" x14ac:dyDescent="0.25">
      <c r="A198" s="40"/>
      <c r="B198" s="98"/>
      <c r="C198" s="8" t="s">
        <v>9</v>
      </c>
      <c r="D198" s="7"/>
      <c r="E198" s="9"/>
      <c r="F198" s="61"/>
      <c r="G198" s="61">
        <f>SUM(G172:G197)</f>
        <v>76654.689999999988</v>
      </c>
      <c r="H198" s="8"/>
    </row>
    <row r="199" spans="1:8" ht="15.75" x14ac:dyDescent="0.25">
      <c r="A199" s="92">
        <v>6</v>
      </c>
      <c r="B199" s="95" t="s">
        <v>26</v>
      </c>
      <c r="C199" s="31" t="s">
        <v>643</v>
      </c>
      <c r="D199" s="27" t="s">
        <v>7</v>
      </c>
      <c r="E199" s="28">
        <v>100</v>
      </c>
      <c r="F199" s="33"/>
      <c r="G199" s="33">
        <v>182400</v>
      </c>
      <c r="H199" s="5" t="s">
        <v>397</v>
      </c>
    </row>
    <row r="200" spans="1:8" ht="15.75" x14ac:dyDescent="0.25">
      <c r="A200" s="93"/>
      <c r="B200" s="96"/>
      <c r="C200" s="31" t="s">
        <v>644</v>
      </c>
      <c r="D200" s="27" t="s">
        <v>7</v>
      </c>
      <c r="E200" s="28">
        <v>2</v>
      </c>
      <c r="F200" s="33">
        <v>230</v>
      </c>
      <c r="G200" s="33">
        <v>460</v>
      </c>
      <c r="H200" s="5" t="s">
        <v>397</v>
      </c>
    </row>
    <row r="201" spans="1:8" ht="15.75" x14ac:dyDescent="0.25">
      <c r="A201" s="93"/>
      <c r="B201" s="96"/>
      <c r="C201" s="30" t="s">
        <v>347</v>
      </c>
      <c r="D201" s="27" t="s">
        <v>7</v>
      </c>
      <c r="E201" s="4">
        <v>9</v>
      </c>
      <c r="F201" s="32">
        <v>8876.2999999999993</v>
      </c>
      <c r="G201" s="32">
        <v>79886.7</v>
      </c>
      <c r="H201" s="5"/>
    </row>
    <row r="202" spans="1:8" ht="15.75" x14ac:dyDescent="0.25">
      <c r="A202" s="93"/>
      <c r="B202" s="96"/>
      <c r="C202" s="30" t="s">
        <v>649</v>
      </c>
      <c r="D202" s="27" t="s">
        <v>7</v>
      </c>
      <c r="E202" s="4">
        <v>9</v>
      </c>
      <c r="F202" s="32">
        <v>166.05</v>
      </c>
      <c r="G202" s="32">
        <v>1498.5</v>
      </c>
      <c r="H202" s="5"/>
    </row>
    <row r="203" spans="1:8" ht="15.75" x14ac:dyDescent="0.25">
      <c r="A203" s="93"/>
      <c r="B203" s="96"/>
      <c r="C203" s="30" t="s">
        <v>650</v>
      </c>
      <c r="D203" s="27" t="s">
        <v>7</v>
      </c>
      <c r="E203" s="4">
        <v>9</v>
      </c>
      <c r="F203" s="32">
        <v>83.62</v>
      </c>
      <c r="G203" s="32">
        <v>752.58</v>
      </c>
      <c r="H203" s="5"/>
    </row>
    <row r="204" spans="1:8" ht="15.75" x14ac:dyDescent="0.25">
      <c r="A204" s="93"/>
      <c r="B204" s="96"/>
      <c r="C204" s="30" t="s">
        <v>651</v>
      </c>
      <c r="D204" s="27" t="s">
        <v>7</v>
      </c>
      <c r="E204" s="4">
        <v>9</v>
      </c>
      <c r="F204" s="32">
        <v>187.96</v>
      </c>
      <c r="G204" s="32">
        <v>1691.64</v>
      </c>
      <c r="H204" s="5"/>
    </row>
    <row r="205" spans="1:8" ht="15.75" x14ac:dyDescent="0.25">
      <c r="A205" s="93"/>
      <c r="B205" s="96"/>
      <c r="C205" s="57" t="s">
        <v>652</v>
      </c>
      <c r="D205" s="27" t="s">
        <v>7</v>
      </c>
      <c r="E205" s="34">
        <v>12</v>
      </c>
      <c r="F205" s="58">
        <v>8.32</v>
      </c>
      <c r="G205" s="58">
        <v>99.84</v>
      </c>
      <c r="H205" s="5"/>
    </row>
    <row r="206" spans="1:8" ht="15.75" x14ac:dyDescent="0.25">
      <c r="A206" s="93"/>
      <c r="B206" s="96"/>
      <c r="C206" s="57" t="s">
        <v>653</v>
      </c>
      <c r="D206" s="27" t="s">
        <v>7</v>
      </c>
      <c r="E206" s="34">
        <v>24</v>
      </c>
      <c r="F206" s="58">
        <v>10</v>
      </c>
      <c r="G206" s="58">
        <v>240</v>
      </c>
      <c r="H206" s="5"/>
    </row>
    <row r="207" spans="1:8" ht="15.75" x14ac:dyDescent="0.25">
      <c r="A207" s="93"/>
      <c r="B207" s="96"/>
      <c r="C207" s="57" t="s">
        <v>654</v>
      </c>
      <c r="D207" s="27" t="s">
        <v>7</v>
      </c>
      <c r="E207" s="34">
        <v>7</v>
      </c>
      <c r="F207" s="58">
        <v>20</v>
      </c>
      <c r="G207" s="58">
        <v>140</v>
      </c>
      <c r="H207" s="5"/>
    </row>
    <row r="208" spans="1:8" ht="15.75" x14ac:dyDescent="0.25">
      <c r="A208" s="93"/>
      <c r="B208" s="96"/>
      <c r="C208" s="57" t="s">
        <v>655</v>
      </c>
      <c r="D208" s="27" t="s">
        <v>7</v>
      </c>
      <c r="E208" s="34">
        <v>4</v>
      </c>
      <c r="F208" s="58">
        <v>30</v>
      </c>
      <c r="G208" s="58">
        <v>120</v>
      </c>
      <c r="H208" s="5"/>
    </row>
    <row r="209" spans="1:8" ht="15.75" x14ac:dyDescent="0.25">
      <c r="A209" s="93"/>
      <c r="B209" s="96"/>
      <c r="C209" s="57" t="s">
        <v>656</v>
      </c>
      <c r="D209" s="27" t="s">
        <v>7</v>
      </c>
      <c r="E209" s="34">
        <v>2</v>
      </c>
      <c r="F209" s="58">
        <v>31</v>
      </c>
      <c r="G209" s="58">
        <v>62</v>
      </c>
      <c r="H209" s="5"/>
    </row>
    <row r="210" spans="1:8" ht="15.75" x14ac:dyDescent="0.25">
      <c r="A210" s="93"/>
      <c r="B210" s="96"/>
      <c r="C210" s="57" t="s">
        <v>657</v>
      </c>
      <c r="D210" s="27" t="s">
        <v>7</v>
      </c>
      <c r="E210" s="34">
        <v>14</v>
      </c>
      <c r="F210" s="58">
        <v>10</v>
      </c>
      <c r="G210" s="58">
        <v>140</v>
      </c>
      <c r="H210" s="5"/>
    </row>
    <row r="211" spans="1:8" ht="15.75" x14ac:dyDescent="0.25">
      <c r="A211" s="93"/>
      <c r="B211" s="96"/>
      <c r="C211" s="57" t="s">
        <v>658</v>
      </c>
      <c r="D211" s="27" t="s">
        <v>7</v>
      </c>
      <c r="E211" s="34">
        <v>3</v>
      </c>
      <c r="F211" s="58">
        <v>30</v>
      </c>
      <c r="G211" s="58">
        <v>90</v>
      </c>
      <c r="H211" s="5"/>
    </row>
    <row r="212" spans="1:8" ht="15.75" x14ac:dyDescent="0.25">
      <c r="A212" s="93"/>
      <c r="B212" s="96"/>
      <c r="C212" s="57" t="s">
        <v>659</v>
      </c>
      <c r="D212" s="27" t="s">
        <v>7</v>
      </c>
      <c r="E212" s="34">
        <v>2</v>
      </c>
      <c r="F212" s="58">
        <v>100</v>
      </c>
      <c r="G212" s="58">
        <v>200</v>
      </c>
      <c r="H212" s="5"/>
    </row>
    <row r="213" spans="1:8" ht="15.75" x14ac:dyDescent="0.25">
      <c r="A213" s="93"/>
      <c r="B213" s="96"/>
      <c r="C213" s="57" t="s">
        <v>636</v>
      </c>
      <c r="D213" s="27" t="s">
        <v>7</v>
      </c>
      <c r="E213" s="34">
        <v>4</v>
      </c>
      <c r="F213" s="58">
        <v>50</v>
      </c>
      <c r="G213" s="58">
        <v>200</v>
      </c>
      <c r="H213" s="5"/>
    </row>
    <row r="214" spans="1:8" ht="15.75" x14ac:dyDescent="0.25">
      <c r="A214" s="93"/>
      <c r="B214" s="96"/>
      <c r="C214" s="57" t="s">
        <v>660</v>
      </c>
      <c r="D214" s="27" t="s">
        <v>7</v>
      </c>
      <c r="E214" s="34">
        <v>14</v>
      </c>
      <c r="F214" s="58">
        <v>15</v>
      </c>
      <c r="G214" s="58">
        <v>210</v>
      </c>
      <c r="H214" s="5"/>
    </row>
    <row r="215" spans="1:8" ht="15.75" x14ac:dyDescent="0.25">
      <c r="A215" s="93"/>
      <c r="B215" s="96"/>
      <c r="C215" s="57" t="s">
        <v>661</v>
      </c>
      <c r="D215" s="27" t="s">
        <v>7</v>
      </c>
      <c r="E215" s="34">
        <v>22</v>
      </c>
      <c r="F215" s="58">
        <v>10</v>
      </c>
      <c r="G215" s="58">
        <v>220</v>
      </c>
      <c r="H215" s="5"/>
    </row>
    <row r="216" spans="1:8" ht="15.75" x14ac:dyDescent="0.25">
      <c r="A216" s="93"/>
      <c r="B216" s="96"/>
      <c r="C216" s="57" t="s">
        <v>16</v>
      </c>
      <c r="D216" s="27" t="s">
        <v>163</v>
      </c>
      <c r="E216" s="34">
        <v>2</v>
      </c>
      <c r="F216" s="58">
        <v>200</v>
      </c>
      <c r="G216" s="58">
        <v>400</v>
      </c>
      <c r="H216" s="5"/>
    </row>
    <row r="217" spans="1:8" ht="15.75" x14ac:dyDescent="0.25">
      <c r="A217" s="93"/>
      <c r="B217" s="96"/>
      <c r="C217" s="57" t="s">
        <v>662</v>
      </c>
      <c r="D217" s="27" t="s">
        <v>7</v>
      </c>
      <c r="E217" s="34">
        <v>8</v>
      </c>
      <c r="F217" s="58">
        <v>20</v>
      </c>
      <c r="G217" s="58">
        <v>160</v>
      </c>
      <c r="H217" s="5"/>
    </row>
    <row r="218" spans="1:8" ht="15.75" x14ac:dyDescent="0.25">
      <c r="A218" s="93"/>
      <c r="B218" s="96"/>
      <c r="C218" s="57" t="s">
        <v>663</v>
      </c>
      <c r="D218" s="27" t="s">
        <v>163</v>
      </c>
      <c r="E218" s="34">
        <v>3</v>
      </c>
      <c r="F218" s="58">
        <v>30</v>
      </c>
      <c r="G218" s="58">
        <v>90</v>
      </c>
      <c r="H218" s="5"/>
    </row>
    <row r="219" spans="1:8" ht="15.75" x14ac:dyDescent="0.25">
      <c r="A219" s="93"/>
      <c r="B219" s="96"/>
      <c r="C219" s="57" t="s">
        <v>14</v>
      </c>
      <c r="D219" s="27" t="s">
        <v>163</v>
      </c>
      <c r="E219" s="34">
        <v>7</v>
      </c>
      <c r="F219" s="58">
        <v>30</v>
      </c>
      <c r="G219" s="58">
        <v>210</v>
      </c>
      <c r="H219" s="5"/>
    </row>
    <row r="220" spans="1:8" ht="15.75" x14ac:dyDescent="0.25">
      <c r="A220" s="93"/>
      <c r="B220" s="96"/>
      <c r="C220" s="57" t="s">
        <v>664</v>
      </c>
      <c r="D220" s="27" t="s">
        <v>163</v>
      </c>
      <c r="E220" s="34">
        <f>5+4+3</f>
        <v>12</v>
      </c>
      <c r="F220" s="58"/>
      <c r="G220" s="58">
        <f>847.95+699.76+546</f>
        <v>2093.71</v>
      </c>
      <c r="H220" s="5"/>
    </row>
    <row r="221" spans="1:8" ht="15.75" x14ac:dyDescent="0.25">
      <c r="A221" s="93"/>
      <c r="B221" s="96"/>
      <c r="C221" s="57" t="s">
        <v>539</v>
      </c>
      <c r="D221" s="27" t="s">
        <v>7</v>
      </c>
      <c r="E221" s="34">
        <v>10</v>
      </c>
      <c r="F221" s="58">
        <v>682.65</v>
      </c>
      <c r="G221" s="58">
        <v>6826.5</v>
      </c>
      <c r="H221" s="5"/>
    </row>
    <row r="222" spans="1:8" ht="15.75" x14ac:dyDescent="0.25">
      <c r="A222" s="93"/>
      <c r="B222" s="96"/>
      <c r="C222" s="57" t="s">
        <v>65</v>
      </c>
      <c r="D222" s="27" t="s">
        <v>7</v>
      </c>
      <c r="E222" s="34">
        <v>1</v>
      </c>
      <c r="F222" s="58">
        <v>12218.99</v>
      </c>
      <c r="G222" s="58">
        <v>12218.99</v>
      </c>
      <c r="H222" s="5"/>
    </row>
    <row r="223" spans="1:8" ht="15.75" x14ac:dyDescent="0.25">
      <c r="A223" s="93"/>
      <c r="B223" s="96"/>
      <c r="C223" s="57" t="s">
        <v>666</v>
      </c>
      <c r="D223" s="27" t="s">
        <v>7</v>
      </c>
      <c r="E223" s="34">
        <v>8</v>
      </c>
      <c r="F223" s="58">
        <v>164.65</v>
      </c>
      <c r="G223" s="58">
        <v>1317.2</v>
      </c>
      <c r="H223" s="5"/>
    </row>
    <row r="224" spans="1:8" ht="15.75" x14ac:dyDescent="0.25">
      <c r="A224" s="93"/>
      <c r="B224" s="96"/>
      <c r="C224" s="57" t="s">
        <v>668</v>
      </c>
      <c r="D224" s="27" t="s">
        <v>7</v>
      </c>
      <c r="E224" s="34">
        <v>4</v>
      </c>
      <c r="F224" s="58">
        <v>190.92</v>
      </c>
      <c r="G224" s="58">
        <v>763.68</v>
      </c>
      <c r="H224" s="5"/>
    </row>
    <row r="225" spans="1:8" ht="15.75" x14ac:dyDescent="0.25">
      <c r="A225" s="93"/>
      <c r="B225" s="96"/>
      <c r="C225" s="30" t="s">
        <v>669</v>
      </c>
      <c r="D225" s="27" t="s">
        <v>7</v>
      </c>
      <c r="E225" s="4">
        <v>10</v>
      </c>
      <c r="F225" s="32">
        <v>955</v>
      </c>
      <c r="G225" s="32">
        <v>9550</v>
      </c>
      <c r="H225" s="5"/>
    </row>
    <row r="226" spans="1:8" ht="15.75" x14ac:dyDescent="0.25">
      <c r="A226" s="94"/>
      <c r="B226" s="97"/>
      <c r="C226" s="30" t="s">
        <v>667</v>
      </c>
      <c r="D226" s="27" t="s">
        <v>7</v>
      </c>
      <c r="E226" s="4">
        <v>5</v>
      </c>
      <c r="F226" s="32">
        <v>255.67</v>
      </c>
      <c r="G226" s="32">
        <v>1278.3499999999999</v>
      </c>
      <c r="H226" s="5"/>
    </row>
    <row r="227" spans="1:8" ht="25.5" x14ac:dyDescent="0.25">
      <c r="A227" s="40"/>
      <c r="B227" s="98"/>
      <c r="C227" s="8" t="s">
        <v>9</v>
      </c>
      <c r="D227" s="7"/>
      <c r="E227" s="9"/>
      <c r="F227" s="61"/>
      <c r="G227" s="61">
        <f>SUM(G199:H226)</f>
        <v>303319.69000000006</v>
      </c>
      <c r="H227" s="8">
        <f>SUM(H199:H200)</f>
        <v>0</v>
      </c>
    </row>
    <row r="228" spans="1:8" ht="15.75" x14ac:dyDescent="0.25">
      <c r="A228" s="92">
        <v>7</v>
      </c>
      <c r="B228" s="95" t="s">
        <v>45</v>
      </c>
      <c r="C228" s="30" t="s">
        <v>347</v>
      </c>
      <c r="D228" s="27" t="s">
        <v>7</v>
      </c>
      <c r="E228" s="4">
        <v>12</v>
      </c>
      <c r="F228" s="32">
        <v>8876.2999999999993</v>
      </c>
      <c r="G228" s="32">
        <v>106515.6</v>
      </c>
      <c r="H228" s="5" t="s">
        <v>397</v>
      </c>
    </row>
    <row r="229" spans="1:8" ht="15.75" x14ac:dyDescent="0.25">
      <c r="A229" s="93"/>
      <c r="B229" s="96"/>
      <c r="C229" s="30" t="s">
        <v>649</v>
      </c>
      <c r="D229" s="27" t="s">
        <v>7</v>
      </c>
      <c r="E229" s="4">
        <v>12</v>
      </c>
      <c r="F229" s="32">
        <v>166.05</v>
      </c>
      <c r="G229" s="32">
        <v>1998</v>
      </c>
      <c r="H229" s="5"/>
    </row>
    <row r="230" spans="1:8" ht="15.75" x14ac:dyDescent="0.25">
      <c r="A230" s="93"/>
      <c r="B230" s="96"/>
      <c r="C230" s="30" t="s">
        <v>650</v>
      </c>
      <c r="D230" s="27" t="s">
        <v>7</v>
      </c>
      <c r="E230" s="4">
        <v>12</v>
      </c>
      <c r="F230" s="32">
        <v>83.62</v>
      </c>
      <c r="G230" s="32">
        <v>1003.44</v>
      </c>
      <c r="H230" s="5"/>
    </row>
    <row r="231" spans="1:8" ht="15.75" x14ac:dyDescent="0.25">
      <c r="A231" s="93"/>
      <c r="B231" s="96"/>
      <c r="C231" s="30" t="s">
        <v>651</v>
      </c>
      <c r="D231" s="27" t="s">
        <v>7</v>
      </c>
      <c r="E231" s="4">
        <v>12</v>
      </c>
      <c r="F231" s="32">
        <v>187.96</v>
      </c>
      <c r="G231" s="32">
        <v>2255.52</v>
      </c>
      <c r="H231" s="5"/>
    </row>
    <row r="232" spans="1:8" ht="15.75" x14ac:dyDescent="0.25">
      <c r="A232" s="93"/>
      <c r="B232" s="96"/>
      <c r="C232" s="57" t="s">
        <v>652</v>
      </c>
      <c r="D232" s="27" t="s">
        <v>7</v>
      </c>
      <c r="E232" s="34">
        <v>42</v>
      </c>
      <c r="F232" s="58">
        <v>8.32</v>
      </c>
      <c r="G232" s="58">
        <v>349.44</v>
      </c>
      <c r="H232" s="5"/>
    </row>
    <row r="233" spans="1:8" ht="15.75" x14ac:dyDescent="0.25">
      <c r="A233" s="93"/>
      <c r="B233" s="96"/>
      <c r="C233" s="57" t="s">
        <v>653</v>
      </c>
      <c r="D233" s="27" t="s">
        <v>7</v>
      </c>
      <c r="E233" s="34">
        <v>24</v>
      </c>
      <c r="F233" s="58">
        <v>10</v>
      </c>
      <c r="G233" s="58">
        <v>240</v>
      </c>
      <c r="H233" s="5"/>
    </row>
    <row r="234" spans="1:8" ht="15.75" x14ac:dyDescent="0.25">
      <c r="A234" s="93"/>
      <c r="B234" s="96"/>
      <c r="C234" s="57" t="s">
        <v>654</v>
      </c>
      <c r="D234" s="27" t="s">
        <v>7</v>
      </c>
      <c r="E234" s="34">
        <v>7</v>
      </c>
      <c r="F234" s="58">
        <v>20</v>
      </c>
      <c r="G234" s="58">
        <v>140</v>
      </c>
      <c r="H234" s="5"/>
    </row>
    <row r="235" spans="1:8" ht="15.75" x14ac:dyDescent="0.25">
      <c r="A235" s="93"/>
      <c r="B235" s="96"/>
      <c r="C235" s="57" t="s">
        <v>655</v>
      </c>
      <c r="D235" s="27" t="s">
        <v>7</v>
      </c>
      <c r="E235" s="34">
        <v>4</v>
      </c>
      <c r="F235" s="58">
        <v>30</v>
      </c>
      <c r="G235" s="58">
        <v>120</v>
      </c>
      <c r="H235" s="5"/>
    </row>
    <row r="236" spans="1:8" ht="15.75" x14ac:dyDescent="0.25">
      <c r="A236" s="93"/>
      <c r="B236" s="96"/>
      <c r="C236" s="57" t="s">
        <v>656</v>
      </c>
      <c r="D236" s="27" t="s">
        <v>7</v>
      </c>
      <c r="E236" s="34">
        <v>2</v>
      </c>
      <c r="F236" s="58">
        <v>31</v>
      </c>
      <c r="G236" s="58">
        <v>62</v>
      </c>
      <c r="H236" s="5"/>
    </row>
    <row r="237" spans="1:8" ht="15.75" x14ac:dyDescent="0.25">
      <c r="A237" s="93"/>
      <c r="B237" s="96"/>
      <c r="C237" s="57" t="s">
        <v>657</v>
      </c>
      <c r="D237" s="27" t="s">
        <v>7</v>
      </c>
      <c r="E237" s="34">
        <v>14</v>
      </c>
      <c r="F237" s="58">
        <v>10</v>
      </c>
      <c r="G237" s="58">
        <v>140</v>
      </c>
      <c r="H237" s="5"/>
    </row>
    <row r="238" spans="1:8" ht="15.75" x14ac:dyDescent="0.25">
      <c r="A238" s="93"/>
      <c r="B238" s="96"/>
      <c r="C238" s="57" t="s">
        <v>658</v>
      </c>
      <c r="D238" s="27" t="s">
        <v>7</v>
      </c>
      <c r="E238" s="34">
        <v>3</v>
      </c>
      <c r="F238" s="58">
        <v>30</v>
      </c>
      <c r="G238" s="58">
        <v>90</v>
      </c>
      <c r="H238" s="5"/>
    </row>
    <row r="239" spans="1:8" ht="15.75" x14ac:dyDescent="0.25">
      <c r="A239" s="93"/>
      <c r="B239" s="96"/>
      <c r="C239" s="57" t="s">
        <v>659</v>
      </c>
      <c r="D239" s="27" t="s">
        <v>7</v>
      </c>
      <c r="E239" s="34">
        <v>2</v>
      </c>
      <c r="F239" s="58">
        <v>100</v>
      </c>
      <c r="G239" s="58">
        <v>200</v>
      </c>
      <c r="H239" s="5"/>
    </row>
    <row r="240" spans="1:8" ht="15.75" x14ac:dyDescent="0.25">
      <c r="A240" s="93"/>
      <c r="B240" s="96"/>
      <c r="C240" s="57" t="s">
        <v>636</v>
      </c>
      <c r="D240" s="27" t="s">
        <v>7</v>
      </c>
      <c r="E240" s="34">
        <v>4</v>
      </c>
      <c r="F240" s="58">
        <v>50</v>
      </c>
      <c r="G240" s="58">
        <v>200</v>
      </c>
      <c r="H240" s="5"/>
    </row>
    <row r="241" spans="1:8" ht="15.75" x14ac:dyDescent="0.25">
      <c r="A241" s="93"/>
      <c r="B241" s="96"/>
      <c r="C241" s="57" t="s">
        <v>660</v>
      </c>
      <c r="D241" s="27" t="s">
        <v>7</v>
      </c>
      <c r="E241" s="34">
        <v>14</v>
      </c>
      <c r="F241" s="58">
        <v>15</v>
      </c>
      <c r="G241" s="58">
        <v>210</v>
      </c>
      <c r="H241" s="5"/>
    </row>
    <row r="242" spans="1:8" ht="15.75" x14ac:dyDescent="0.25">
      <c r="A242" s="93"/>
      <c r="B242" s="96"/>
      <c r="C242" s="57" t="s">
        <v>661</v>
      </c>
      <c r="D242" s="27" t="s">
        <v>7</v>
      </c>
      <c r="E242" s="34">
        <v>26</v>
      </c>
      <c r="F242" s="58">
        <v>10</v>
      </c>
      <c r="G242" s="58">
        <v>260</v>
      </c>
      <c r="H242" s="5"/>
    </row>
    <row r="243" spans="1:8" ht="15.75" x14ac:dyDescent="0.25">
      <c r="A243" s="93"/>
      <c r="B243" s="96"/>
      <c r="C243" s="57" t="s">
        <v>16</v>
      </c>
      <c r="D243" s="27" t="s">
        <v>163</v>
      </c>
      <c r="E243" s="34">
        <v>2</v>
      </c>
      <c r="F243" s="58">
        <v>200</v>
      </c>
      <c r="G243" s="58">
        <v>400</v>
      </c>
      <c r="H243" s="5"/>
    </row>
    <row r="244" spans="1:8" ht="15.75" x14ac:dyDescent="0.25">
      <c r="A244" s="93"/>
      <c r="B244" s="96"/>
      <c r="C244" s="57" t="s">
        <v>662</v>
      </c>
      <c r="D244" s="27" t="s">
        <v>7</v>
      </c>
      <c r="E244" s="34">
        <v>8</v>
      </c>
      <c r="F244" s="58">
        <v>20</v>
      </c>
      <c r="G244" s="33">
        <v>160</v>
      </c>
      <c r="H244" s="5"/>
    </row>
    <row r="245" spans="1:8" ht="15.75" x14ac:dyDescent="0.25">
      <c r="A245" s="93"/>
      <c r="B245" s="96"/>
      <c r="C245" s="57" t="s">
        <v>663</v>
      </c>
      <c r="D245" s="27" t="s">
        <v>163</v>
      </c>
      <c r="E245" s="34">
        <v>3</v>
      </c>
      <c r="F245" s="58">
        <v>30</v>
      </c>
      <c r="G245" s="32">
        <v>90</v>
      </c>
      <c r="H245" s="5"/>
    </row>
    <row r="246" spans="1:8" ht="15.75" x14ac:dyDescent="0.25">
      <c r="A246" s="93"/>
      <c r="B246" s="96"/>
      <c r="C246" s="57" t="s">
        <v>14</v>
      </c>
      <c r="D246" s="27" t="s">
        <v>163</v>
      </c>
      <c r="E246" s="34">
        <v>7</v>
      </c>
      <c r="F246" s="58">
        <v>30</v>
      </c>
      <c r="G246" s="32">
        <v>210</v>
      </c>
      <c r="H246" s="5"/>
    </row>
    <row r="247" spans="1:8" ht="15.75" x14ac:dyDescent="0.25">
      <c r="A247" s="93"/>
      <c r="B247" s="96"/>
      <c r="C247" s="57" t="s">
        <v>664</v>
      </c>
      <c r="D247" s="27" t="s">
        <v>163</v>
      </c>
      <c r="E247" s="34">
        <f>5+4+3</f>
        <v>12</v>
      </c>
      <c r="F247" s="58"/>
      <c r="G247" s="32">
        <f>847.95+699.76+546</f>
        <v>2093.71</v>
      </c>
      <c r="H247" s="5"/>
    </row>
    <row r="248" spans="1:8" ht="15.75" x14ac:dyDescent="0.25">
      <c r="A248" s="93"/>
      <c r="B248" s="96"/>
      <c r="C248" s="57" t="s">
        <v>539</v>
      </c>
      <c r="D248" s="27" t="s">
        <v>7</v>
      </c>
      <c r="E248" s="34">
        <v>10</v>
      </c>
      <c r="F248" s="58">
        <v>682.65</v>
      </c>
      <c r="G248" s="58">
        <v>6826.5</v>
      </c>
      <c r="H248" s="5"/>
    </row>
    <row r="249" spans="1:8" ht="15.75" x14ac:dyDescent="0.25">
      <c r="A249" s="93"/>
      <c r="B249" s="96"/>
      <c r="C249" s="57" t="s">
        <v>65</v>
      </c>
      <c r="D249" s="27" t="s">
        <v>7</v>
      </c>
      <c r="E249" s="34">
        <v>1</v>
      </c>
      <c r="F249" s="58">
        <v>6529.45</v>
      </c>
      <c r="G249" s="58">
        <v>6529.45</v>
      </c>
      <c r="H249" s="5"/>
    </row>
    <row r="250" spans="1:8" ht="15.75" x14ac:dyDescent="0.25">
      <c r="A250" s="93"/>
      <c r="B250" s="96"/>
      <c r="C250" s="57" t="s">
        <v>666</v>
      </c>
      <c r="D250" s="27" t="s">
        <v>7</v>
      </c>
      <c r="E250" s="34">
        <v>8</v>
      </c>
      <c r="F250" s="58">
        <v>164.65</v>
      </c>
      <c r="G250" s="58">
        <v>1317.2</v>
      </c>
      <c r="H250" s="5"/>
    </row>
    <row r="251" spans="1:8" ht="15.75" x14ac:dyDescent="0.25">
      <c r="A251" s="93"/>
      <c r="B251" s="96"/>
      <c r="C251" s="57" t="s">
        <v>668</v>
      </c>
      <c r="D251" s="27" t="s">
        <v>7</v>
      </c>
      <c r="E251" s="34">
        <v>4</v>
      </c>
      <c r="F251" s="58">
        <v>190.92</v>
      </c>
      <c r="G251" s="58">
        <v>763.68</v>
      </c>
      <c r="H251" s="5"/>
    </row>
    <row r="252" spans="1:8" ht="15.75" x14ac:dyDescent="0.25">
      <c r="A252" s="93"/>
      <c r="B252" s="96"/>
      <c r="C252" s="30" t="s">
        <v>669</v>
      </c>
      <c r="D252" s="27" t="s">
        <v>7</v>
      </c>
      <c r="E252" s="4">
        <v>8</v>
      </c>
      <c r="F252" s="32">
        <v>955</v>
      </c>
      <c r="G252" s="32">
        <v>7640</v>
      </c>
      <c r="H252" s="5"/>
    </row>
    <row r="253" spans="1:8" ht="15.75" x14ac:dyDescent="0.25">
      <c r="A253" s="93"/>
      <c r="B253" s="96"/>
      <c r="C253" s="30" t="s">
        <v>667</v>
      </c>
      <c r="D253" s="27" t="s">
        <v>7</v>
      </c>
      <c r="E253" s="4">
        <v>5</v>
      </c>
      <c r="F253" s="32">
        <v>255.67</v>
      </c>
      <c r="G253" s="32">
        <v>1278.3499999999999</v>
      </c>
      <c r="H253" s="5"/>
    </row>
    <row r="254" spans="1:8" x14ac:dyDescent="0.25">
      <c r="A254" s="94"/>
      <c r="B254" s="97"/>
      <c r="C254" s="21" t="s">
        <v>670</v>
      </c>
      <c r="D254" s="3" t="s">
        <v>7</v>
      </c>
      <c r="E254" s="4">
        <v>1</v>
      </c>
      <c r="F254" s="32">
        <v>4950</v>
      </c>
      <c r="G254" s="32">
        <v>4950</v>
      </c>
      <c r="H254" s="5"/>
    </row>
    <row r="255" spans="1:8" ht="25.5" x14ac:dyDescent="0.25">
      <c r="A255" s="40"/>
      <c r="B255" s="98"/>
      <c r="C255" s="8" t="s">
        <v>9</v>
      </c>
      <c r="D255" s="7"/>
      <c r="E255" s="9"/>
      <c r="F255" s="61"/>
      <c r="G255" s="61">
        <f>SUM(G228:G254)</f>
        <v>146042.89000000001</v>
      </c>
      <c r="H255" s="8">
        <f>SUM(H228:H229)</f>
        <v>0</v>
      </c>
    </row>
    <row r="256" spans="1:8" ht="15.75" x14ac:dyDescent="0.25">
      <c r="A256" s="82">
        <v>8</v>
      </c>
      <c r="B256" s="88" t="s">
        <v>27</v>
      </c>
      <c r="C256" s="57" t="s">
        <v>652</v>
      </c>
      <c r="D256" s="27" t="s">
        <v>7</v>
      </c>
      <c r="E256" s="34">
        <v>36</v>
      </c>
      <c r="F256" s="58">
        <v>8.32</v>
      </c>
      <c r="G256" s="58">
        <v>299.52</v>
      </c>
      <c r="H256" s="5" t="s">
        <v>397</v>
      </c>
    </row>
    <row r="257" spans="1:8" ht="15.75" x14ac:dyDescent="0.25">
      <c r="A257" s="87"/>
      <c r="B257" s="89"/>
      <c r="C257" s="57" t="s">
        <v>653</v>
      </c>
      <c r="D257" s="27" t="s">
        <v>7</v>
      </c>
      <c r="E257" s="34">
        <v>24</v>
      </c>
      <c r="F257" s="58">
        <v>10</v>
      </c>
      <c r="G257" s="33">
        <v>240</v>
      </c>
      <c r="H257" s="5"/>
    </row>
    <row r="258" spans="1:8" ht="15.75" x14ac:dyDescent="0.25">
      <c r="A258" s="87"/>
      <c r="B258" s="89"/>
      <c r="C258" s="57" t="s">
        <v>654</v>
      </c>
      <c r="D258" s="27" t="s">
        <v>7</v>
      </c>
      <c r="E258" s="34">
        <v>7</v>
      </c>
      <c r="F258" s="58">
        <v>20</v>
      </c>
      <c r="G258" s="33">
        <v>140</v>
      </c>
      <c r="H258" s="5"/>
    </row>
    <row r="259" spans="1:8" ht="15.75" x14ac:dyDescent="0.25">
      <c r="A259" s="87"/>
      <c r="B259" s="89"/>
      <c r="C259" s="57" t="s">
        <v>655</v>
      </c>
      <c r="D259" s="27" t="s">
        <v>7</v>
      </c>
      <c r="E259" s="34">
        <v>4</v>
      </c>
      <c r="F259" s="58">
        <v>30</v>
      </c>
      <c r="G259" s="33">
        <v>120</v>
      </c>
      <c r="H259" s="5"/>
    </row>
    <row r="260" spans="1:8" ht="15.75" x14ac:dyDescent="0.25">
      <c r="A260" s="87"/>
      <c r="B260" s="89"/>
      <c r="C260" s="57" t="s">
        <v>656</v>
      </c>
      <c r="D260" s="27" t="s">
        <v>7</v>
      </c>
      <c r="E260" s="34">
        <v>1</v>
      </c>
      <c r="F260" s="58">
        <v>31</v>
      </c>
      <c r="G260" s="33">
        <v>31</v>
      </c>
      <c r="H260" s="5"/>
    </row>
    <row r="261" spans="1:8" ht="15.75" x14ac:dyDescent="0.25">
      <c r="A261" s="87"/>
      <c r="B261" s="89"/>
      <c r="C261" s="57" t="s">
        <v>657</v>
      </c>
      <c r="D261" s="27" t="s">
        <v>7</v>
      </c>
      <c r="E261" s="34">
        <v>12</v>
      </c>
      <c r="F261" s="58">
        <v>10</v>
      </c>
      <c r="G261" s="33">
        <v>120</v>
      </c>
      <c r="H261" s="5"/>
    </row>
    <row r="262" spans="1:8" ht="15.75" x14ac:dyDescent="0.25">
      <c r="A262" s="87"/>
      <c r="B262" s="89"/>
      <c r="C262" s="57" t="s">
        <v>658</v>
      </c>
      <c r="D262" s="27" t="s">
        <v>7</v>
      </c>
      <c r="E262" s="34">
        <v>2</v>
      </c>
      <c r="F262" s="58">
        <v>30</v>
      </c>
      <c r="G262" s="33">
        <v>60</v>
      </c>
      <c r="H262" s="5"/>
    </row>
    <row r="263" spans="1:8" ht="15.75" x14ac:dyDescent="0.25">
      <c r="A263" s="87"/>
      <c r="B263" s="89"/>
      <c r="C263" s="57" t="s">
        <v>659</v>
      </c>
      <c r="D263" s="27" t="s">
        <v>7</v>
      </c>
      <c r="E263" s="34">
        <v>2</v>
      </c>
      <c r="F263" s="58">
        <v>100</v>
      </c>
      <c r="G263" s="33">
        <v>200</v>
      </c>
      <c r="H263" s="5"/>
    </row>
    <row r="264" spans="1:8" ht="15.75" x14ac:dyDescent="0.25">
      <c r="A264" s="87"/>
      <c r="B264" s="89"/>
      <c r="C264" s="57" t="s">
        <v>636</v>
      </c>
      <c r="D264" s="27" t="s">
        <v>7</v>
      </c>
      <c r="E264" s="34">
        <v>4</v>
      </c>
      <c r="F264" s="58">
        <v>50</v>
      </c>
      <c r="G264" s="33">
        <v>200</v>
      </c>
      <c r="H264" s="5"/>
    </row>
    <row r="265" spans="1:8" ht="15.75" x14ac:dyDescent="0.25">
      <c r="A265" s="87"/>
      <c r="B265" s="89"/>
      <c r="C265" s="57" t="s">
        <v>660</v>
      </c>
      <c r="D265" s="27" t="s">
        <v>7</v>
      </c>
      <c r="E265" s="34">
        <v>12</v>
      </c>
      <c r="F265" s="58">
        <v>15</v>
      </c>
      <c r="G265" s="33">
        <v>180</v>
      </c>
      <c r="H265" s="5"/>
    </row>
    <row r="266" spans="1:8" ht="15.75" x14ac:dyDescent="0.25">
      <c r="A266" s="87"/>
      <c r="B266" s="89"/>
      <c r="C266" s="57" t="s">
        <v>661</v>
      </c>
      <c r="D266" s="27" t="s">
        <v>7</v>
      </c>
      <c r="E266" s="34">
        <v>22</v>
      </c>
      <c r="F266" s="58">
        <v>10</v>
      </c>
      <c r="G266" s="33">
        <v>220</v>
      </c>
      <c r="H266" s="5"/>
    </row>
    <row r="267" spans="1:8" ht="15.75" x14ac:dyDescent="0.25">
      <c r="A267" s="87"/>
      <c r="B267" s="89"/>
      <c r="C267" s="57" t="s">
        <v>16</v>
      </c>
      <c r="D267" s="27" t="s">
        <v>163</v>
      </c>
      <c r="E267" s="34">
        <v>2</v>
      </c>
      <c r="F267" s="58">
        <v>200</v>
      </c>
      <c r="G267" s="33">
        <v>400</v>
      </c>
      <c r="H267" s="5"/>
    </row>
    <row r="268" spans="1:8" ht="15.75" x14ac:dyDescent="0.25">
      <c r="A268" s="87"/>
      <c r="B268" s="89"/>
      <c r="C268" s="57" t="s">
        <v>662</v>
      </c>
      <c r="D268" s="27" t="s">
        <v>7</v>
      </c>
      <c r="E268" s="34">
        <v>8</v>
      </c>
      <c r="F268" s="58">
        <v>20</v>
      </c>
      <c r="G268" s="33">
        <v>160</v>
      </c>
      <c r="H268" s="5"/>
    </row>
    <row r="269" spans="1:8" ht="15.75" x14ac:dyDescent="0.25">
      <c r="A269" s="87"/>
      <c r="B269" s="89"/>
      <c r="C269" s="57" t="s">
        <v>663</v>
      </c>
      <c r="D269" s="27" t="s">
        <v>163</v>
      </c>
      <c r="E269" s="34">
        <v>3</v>
      </c>
      <c r="F269" s="58">
        <v>30</v>
      </c>
      <c r="G269" s="33">
        <v>90</v>
      </c>
      <c r="H269" s="5"/>
    </row>
    <row r="270" spans="1:8" ht="15.75" x14ac:dyDescent="0.25">
      <c r="A270" s="87"/>
      <c r="B270" s="89"/>
      <c r="C270" s="57" t="s">
        <v>14</v>
      </c>
      <c r="D270" s="27" t="s">
        <v>163</v>
      </c>
      <c r="E270" s="34">
        <v>7</v>
      </c>
      <c r="F270" s="58">
        <v>30</v>
      </c>
      <c r="G270" s="33">
        <v>210</v>
      </c>
      <c r="H270" s="5"/>
    </row>
    <row r="271" spans="1:8" ht="15.75" x14ac:dyDescent="0.25">
      <c r="A271" s="87"/>
      <c r="B271" s="89"/>
      <c r="C271" s="57" t="s">
        <v>664</v>
      </c>
      <c r="D271" s="27" t="s">
        <v>163</v>
      </c>
      <c r="E271" s="34">
        <v>12</v>
      </c>
      <c r="F271" s="58"/>
      <c r="G271" s="33">
        <f>847.95+699.76+546</f>
        <v>2093.71</v>
      </c>
      <c r="H271" s="5"/>
    </row>
    <row r="272" spans="1:8" ht="15.75" x14ac:dyDescent="0.25">
      <c r="A272" s="87"/>
      <c r="B272" s="89"/>
      <c r="C272" s="57" t="s">
        <v>539</v>
      </c>
      <c r="D272" s="27" t="s">
        <v>7</v>
      </c>
      <c r="E272" s="34">
        <v>10</v>
      </c>
      <c r="F272" s="58">
        <v>682.65</v>
      </c>
      <c r="G272" s="58">
        <v>6826.5</v>
      </c>
      <c r="H272" s="5"/>
    </row>
    <row r="273" spans="1:8" ht="15.75" x14ac:dyDescent="0.25">
      <c r="A273" s="87"/>
      <c r="B273" s="89"/>
      <c r="C273" s="57" t="s">
        <v>65</v>
      </c>
      <c r="D273" s="27" t="s">
        <v>7</v>
      </c>
      <c r="E273" s="34">
        <v>1</v>
      </c>
      <c r="F273" s="58">
        <v>6529.45</v>
      </c>
      <c r="G273" s="58">
        <v>6529.45</v>
      </c>
      <c r="H273" s="5"/>
    </row>
    <row r="274" spans="1:8" ht="15.75" x14ac:dyDescent="0.25">
      <c r="A274" s="87"/>
      <c r="B274" s="89"/>
      <c r="C274" s="57" t="s">
        <v>666</v>
      </c>
      <c r="D274" s="27" t="s">
        <v>7</v>
      </c>
      <c r="E274" s="34">
        <v>8</v>
      </c>
      <c r="F274" s="58">
        <v>164.65</v>
      </c>
      <c r="G274" s="58">
        <v>1317.2</v>
      </c>
      <c r="H274" s="5"/>
    </row>
    <row r="275" spans="1:8" ht="15.75" x14ac:dyDescent="0.25">
      <c r="A275" s="87"/>
      <c r="B275" s="89"/>
      <c r="C275" s="57" t="s">
        <v>668</v>
      </c>
      <c r="D275" s="27" t="s">
        <v>7</v>
      </c>
      <c r="E275" s="34">
        <v>4</v>
      </c>
      <c r="F275" s="58">
        <v>190.92</v>
      </c>
      <c r="G275" s="58">
        <v>763.68</v>
      </c>
      <c r="H275" s="5"/>
    </row>
    <row r="276" spans="1:8" ht="15.75" x14ac:dyDescent="0.25">
      <c r="A276" s="87"/>
      <c r="B276" s="89"/>
      <c r="C276" s="30" t="s">
        <v>669</v>
      </c>
      <c r="D276" s="27" t="s">
        <v>7</v>
      </c>
      <c r="E276" s="4">
        <v>8</v>
      </c>
      <c r="F276" s="32">
        <v>955</v>
      </c>
      <c r="G276" s="32">
        <v>7640</v>
      </c>
      <c r="H276" s="5"/>
    </row>
    <row r="277" spans="1:8" ht="15.75" x14ac:dyDescent="0.25">
      <c r="A277" s="87"/>
      <c r="B277" s="89"/>
      <c r="C277" s="30" t="s">
        <v>667</v>
      </c>
      <c r="D277" s="27" t="s">
        <v>7</v>
      </c>
      <c r="E277" s="4">
        <v>5</v>
      </c>
      <c r="F277" s="32">
        <v>255.67</v>
      </c>
      <c r="G277" s="32">
        <v>1278.3499999999999</v>
      </c>
      <c r="H277" s="5"/>
    </row>
    <row r="278" spans="1:8" x14ac:dyDescent="0.25">
      <c r="A278" s="83"/>
      <c r="B278" s="90"/>
      <c r="C278" s="21" t="s">
        <v>670</v>
      </c>
      <c r="D278" s="3" t="s">
        <v>7</v>
      </c>
      <c r="E278" s="4">
        <v>1</v>
      </c>
      <c r="F278" s="32">
        <v>4950</v>
      </c>
      <c r="G278" s="32">
        <v>4950</v>
      </c>
      <c r="H278" s="5"/>
    </row>
    <row r="279" spans="1:8" ht="25.5" x14ac:dyDescent="0.25">
      <c r="A279" s="40"/>
      <c r="B279" s="98"/>
      <c r="C279" s="8" t="s">
        <v>9</v>
      </c>
      <c r="D279" s="7"/>
      <c r="E279" s="9"/>
      <c r="F279" s="61"/>
      <c r="G279" s="61">
        <f>SUM(G256:H278)</f>
        <v>34069.410000000003</v>
      </c>
      <c r="H279" s="8">
        <f>SUM(H256:H256)</f>
        <v>0</v>
      </c>
    </row>
    <row r="280" spans="1:8" ht="17.25" customHeight="1" x14ac:dyDescent="0.25">
      <c r="A280" s="92">
        <v>9</v>
      </c>
      <c r="B280" s="95" t="s">
        <v>29</v>
      </c>
      <c r="C280" s="30" t="s">
        <v>347</v>
      </c>
      <c r="D280" s="27" t="s">
        <v>7</v>
      </c>
      <c r="E280" s="4">
        <v>3</v>
      </c>
      <c r="F280" s="32">
        <v>8876.2999999999993</v>
      </c>
      <c r="G280" s="32">
        <v>26628.9</v>
      </c>
      <c r="H280" s="5" t="s">
        <v>397</v>
      </c>
    </row>
    <row r="281" spans="1:8" ht="15.75" x14ac:dyDescent="0.25">
      <c r="A281" s="93"/>
      <c r="B281" s="96"/>
      <c r="C281" s="30" t="s">
        <v>649</v>
      </c>
      <c r="D281" s="27" t="s">
        <v>7</v>
      </c>
      <c r="E281" s="4">
        <v>3</v>
      </c>
      <c r="F281" s="32">
        <v>166.05</v>
      </c>
      <c r="G281" s="32">
        <v>499.5</v>
      </c>
      <c r="H281" s="5" t="s">
        <v>397</v>
      </c>
    </row>
    <row r="282" spans="1:8" ht="15" customHeight="1" x14ac:dyDescent="0.25">
      <c r="A282" s="93"/>
      <c r="B282" s="96"/>
      <c r="C282" s="30" t="s">
        <v>650</v>
      </c>
      <c r="D282" s="27" t="s">
        <v>7</v>
      </c>
      <c r="E282" s="4">
        <v>3</v>
      </c>
      <c r="F282" s="32">
        <v>83.62</v>
      </c>
      <c r="G282" s="32">
        <v>250.86</v>
      </c>
      <c r="H282" s="5"/>
    </row>
    <row r="283" spans="1:8" ht="15" customHeight="1" x14ac:dyDescent="0.25">
      <c r="A283" s="93"/>
      <c r="B283" s="96"/>
      <c r="C283" s="30" t="s">
        <v>651</v>
      </c>
      <c r="D283" s="27" t="s">
        <v>7</v>
      </c>
      <c r="E283" s="4">
        <v>3</v>
      </c>
      <c r="F283" s="32">
        <v>187.96</v>
      </c>
      <c r="G283" s="32">
        <v>563.88</v>
      </c>
      <c r="H283" s="5"/>
    </row>
    <row r="284" spans="1:8" ht="15.75" x14ac:dyDescent="0.25">
      <c r="A284" s="93"/>
      <c r="B284" s="96"/>
      <c r="C284" s="57" t="s">
        <v>652</v>
      </c>
      <c r="D284" s="27" t="s">
        <v>7</v>
      </c>
      <c r="E284" s="34">
        <v>12</v>
      </c>
      <c r="F284" s="58">
        <v>8.32</v>
      </c>
      <c r="G284" s="58">
        <v>99.84</v>
      </c>
      <c r="H284" s="5"/>
    </row>
    <row r="285" spans="1:8" ht="14.25" customHeight="1" x14ac:dyDescent="0.25">
      <c r="A285" s="93"/>
      <c r="B285" s="96"/>
      <c r="C285" s="57" t="s">
        <v>653</v>
      </c>
      <c r="D285" s="27" t="s">
        <v>7</v>
      </c>
      <c r="E285" s="34">
        <v>22</v>
      </c>
      <c r="F285" s="58">
        <v>10</v>
      </c>
      <c r="G285" s="58">
        <v>220</v>
      </c>
      <c r="H285" s="5"/>
    </row>
    <row r="286" spans="1:8" ht="14.25" customHeight="1" x14ac:dyDescent="0.25">
      <c r="A286" s="93"/>
      <c r="B286" s="96"/>
      <c r="C286" s="57" t="s">
        <v>654</v>
      </c>
      <c r="D286" s="27" t="s">
        <v>7</v>
      </c>
      <c r="E286" s="34">
        <v>6</v>
      </c>
      <c r="F286" s="58">
        <v>20</v>
      </c>
      <c r="G286" s="58">
        <v>120</v>
      </c>
      <c r="H286" s="5"/>
    </row>
    <row r="287" spans="1:8" ht="14.25" customHeight="1" x14ac:dyDescent="0.25">
      <c r="A287" s="93"/>
      <c r="B287" s="96"/>
      <c r="C287" s="57" t="s">
        <v>655</v>
      </c>
      <c r="D287" s="27" t="s">
        <v>7</v>
      </c>
      <c r="E287" s="34">
        <v>4</v>
      </c>
      <c r="F287" s="58">
        <v>30</v>
      </c>
      <c r="G287" s="58">
        <v>120</v>
      </c>
      <c r="H287" s="5"/>
    </row>
    <row r="288" spans="1:8" ht="14.25" customHeight="1" x14ac:dyDescent="0.25">
      <c r="A288" s="93"/>
      <c r="B288" s="96"/>
      <c r="C288" s="57" t="s">
        <v>656</v>
      </c>
      <c r="D288" s="27" t="s">
        <v>7</v>
      </c>
      <c r="E288" s="34">
        <v>1</v>
      </c>
      <c r="F288" s="58">
        <v>31</v>
      </c>
      <c r="G288" s="58">
        <v>31</v>
      </c>
      <c r="H288" s="5"/>
    </row>
    <row r="289" spans="1:8" ht="14.25" customHeight="1" x14ac:dyDescent="0.25">
      <c r="A289" s="93"/>
      <c r="B289" s="96"/>
      <c r="C289" s="57" t="s">
        <v>657</v>
      </c>
      <c r="D289" s="27" t="s">
        <v>7</v>
      </c>
      <c r="E289" s="34">
        <v>12</v>
      </c>
      <c r="F289" s="58">
        <v>10</v>
      </c>
      <c r="G289" s="58">
        <v>120</v>
      </c>
      <c r="H289" s="5"/>
    </row>
    <row r="290" spans="1:8" ht="14.25" customHeight="1" x14ac:dyDescent="0.25">
      <c r="A290" s="93"/>
      <c r="B290" s="96"/>
      <c r="C290" s="57" t="s">
        <v>658</v>
      </c>
      <c r="D290" s="27" t="s">
        <v>7</v>
      </c>
      <c r="E290" s="34">
        <v>2</v>
      </c>
      <c r="F290" s="58">
        <v>30</v>
      </c>
      <c r="G290" s="58">
        <v>60</v>
      </c>
      <c r="H290" s="5"/>
    </row>
    <row r="291" spans="1:8" ht="14.25" customHeight="1" x14ac:dyDescent="0.25">
      <c r="A291" s="93"/>
      <c r="B291" s="96"/>
      <c r="C291" s="57" t="s">
        <v>659</v>
      </c>
      <c r="D291" s="27" t="s">
        <v>7</v>
      </c>
      <c r="E291" s="34">
        <v>1</v>
      </c>
      <c r="F291" s="58">
        <v>100</v>
      </c>
      <c r="G291" s="58">
        <v>100</v>
      </c>
      <c r="H291" s="5"/>
    </row>
    <row r="292" spans="1:8" ht="14.25" customHeight="1" x14ac:dyDescent="0.25">
      <c r="A292" s="93"/>
      <c r="B292" s="96"/>
      <c r="C292" s="57" t="s">
        <v>636</v>
      </c>
      <c r="D292" s="27" t="s">
        <v>7</v>
      </c>
      <c r="E292" s="34">
        <v>4</v>
      </c>
      <c r="F292" s="58">
        <v>50</v>
      </c>
      <c r="G292" s="58">
        <v>200</v>
      </c>
      <c r="H292" s="5"/>
    </row>
    <row r="293" spans="1:8" ht="14.25" customHeight="1" x14ac:dyDescent="0.25">
      <c r="A293" s="93"/>
      <c r="B293" s="96"/>
      <c r="C293" s="57" t="s">
        <v>660</v>
      </c>
      <c r="D293" s="27" t="s">
        <v>7</v>
      </c>
      <c r="E293" s="34">
        <v>12</v>
      </c>
      <c r="F293" s="58">
        <v>15</v>
      </c>
      <c r="G293" s="58">
        <v>180</v>
      </c>
      <c r="H293" s="5"/>
    </row>
    <row r="294" spans="1:8" ht="14.25" customHeight="1" x14ac:dyDescent="0.25">
      <c r="A294" s="93"/>
      <c r="B294" s="96"/>
      <c r="C294" s="57" t="s">
        <v>661</v>
      </c>
      <c r="D294" s="27" t="s">
        <v>7</v>
      </c>
      <c r="E294" s="34">
        <v>22</v>
      </c>
      <c r="F294" s="58">
        <v>10</v>
      </c>
      <c r="G294" s="58">
        <v>220</v>
      </c>
      <c r="H294" s="5"/>
    </row>
    <row r="295" spans="1:8" ht="14.25" customHeight="1" x14ac:dyDescent="0.25">
      <c r="A295" s="93"/>
      <c r="B295" s="96"/>
      <c r="C295" s="57" t="s">
        <v>16</v>
      </c>
      <c r="D295" s="27" t="s">
        <v>163</v>
      </c>
      <c r="E295" s="34">
        <v>1</v>
      </c>
      <c r="F295" s="58">
        <v>200</v>
      </c>
      <c r="G295" s="58">
        <v>200</v>
      </c>
      <c r="H295" s="5"/>
    </row>
    <row r="296" spans="1:8" ht="14.25" customHeight="1" x14ac:dyDescent="0.25">
      <c r="A296" s="93"/>
      <c r="B296" s="96"/>
      <c r="C296" s="57" t="s">
        <v>662</v>
      </c>
      <c r="D296" s="27" t="s">
        <v>7</v>
      </c>
      <c r="E296" s="34">
        <v>8</v>
      </c>
      <c r="F296" s="58">
        <v>20</v>
      </c>
      <c r="G296" s="58">
        <v>160</v>
      </c>
      <c r="H296" s="5"/>
    </row>
    <row r="297" spans="1:8" ht="14.25" customHeight="1" x14ac:dyDescent="0.25">
      <c r="A297" s="93"/>
      <c r="B297" s="96"/>
      <c r="C297" s="57" t="s">
        <v>663</v>
      </c>
      <c r="D297" s="27" t="s">
        <v>163</v>
      </c>
      <c r="E297" s="34">
        <v>3</v>
      </c>
      <c r="F297" s="58">
        <v>30</v>
      </c>
      <c r="G297" s="58">
        <v>90</v>
      </c>
      <c r="H297" s="5"/>
    </row>
    <row r="298" spans="1:8" ht="14.25" customHeight="1" x14ac:dyDescent="0.25">
      <c r="A298" s="93"/>
      <c r="B298" s="96"/>
      <c r="C298" s="57" t="s">
        <v>14</v>
      </c>
      <c r="D298" s="27" t="s">
        <v>163</v>
      </c>
      <c r="E298" s="34">
        <v>7</v>
      </c>
      <c r="F298" s="58">
        <v>30</v>
      </c>
      <c r="G298" s="58">
        <v>210</v>
      </c>
      <c r="H298" s="5"/>
    </row>
    <row r="299" spans="1:8" ht="14.25" customHeight="1" x14ac:dyDescent="0.25">
      <c r="A299" s="93"/>
      <c r="B299" s="96"/>
      <c r="C299" s="57" t="s">
        <v>664</v>
      </c>
      <c r="D299" s="27" t="s">
        <v>163</v>
      </c>
      <c r="E299" s="34">
        <v>12</v>
      </c>
      <c r="F299" s="58"/>
      <c r="G299" s="32">
        <f>847.95+699.76+546</f>
        <v>2093.71</v>
      </c>
      <c r="H299" s="5"/>
    </row>
    <row r="300" spans="1:8" ht="15" customHeight="1" x14ac:dyDescent="0.25">
      <c r="A300" s="93"/>
      <c r="B300" s="96"/>
      <c r="C300" s="57" t="s">
        <v>539</v>
      </c>
      <c r="D300" s="27" t="s">
        <v>7</v>
      </c>
      <c r="E300" s="34">
        <v>10</v>
      </c>
      <c r="F300" s="58">
        <v>682.65</v>
      </c>
      <c r="G300" s="58">
        <v>6826.5</v>
      </c>
      <c r="H300" s="5"/>
    </row>
    <row r="301" spans="1:8" ht="15" customHeight="1" x14ac:dyDescent="0.25">
      <c r="A301" s="93"/>
      <c r="B301" s="96"/>
      <c r="C301" s="57" t="s">
        <v>65</v>
      </c>
      <c r="D301" s="27" t="s">
        <v>7</v>
      </c>
      <c r="E301" s="34">
        <v>1</v>
      </c>
      <c r="F301" s="58">
        <v>6529.45</v>
      </c>
      <c r="G301" s="58">
        <v>6529.45</v>
      </c>
      <c r="H301" s="5"/>
    </row>
    <row r="302" spans="1:8" ht="15" customHeight="1" x14ac:dyDescent="0.25">
      <c r="A302" s="93"/>
      <c r="B302" s="96"/>
      <c r="C302" s="57" t="s">
        <v>666</v>
      </c>
      <c r="D302" s="27" t="s">
        <v>7</v>
      </c>
      <c r="E302" s="34">
        <v>8</v>
      </c>
      <c r="F302" s="58">
        <v>164.65</v>
      </c>
      <c r="G302" s="58">
        <v>1317.2</v>
      </c>
      <c r="H302" s="5"/>
    </row>
    <row r="303" spans="1:8" ht="15" customHeight="1" x14ac:dyDescent="0.25">
      <c r="A303" s="93"/>
      <c r="B303" s="96"/>
      <c r="C303" s="57" t="s">
        <v>668</v>
      </c>
      <c r="D303" s="27" t="s">
        <v>7</v>
      </c>
      <c r="E303" s="34">
        <v>4</v>
      </c>
      <c r="F303" s="58">
        <v>190.92</v>
      </c>
      <c r="G303" s="58">
        <v>763.68</v>
      </c>
      <c r="H303" s="5"/>
    </row>
    <row r="304" spans="1:8" ht="15" customHeight="1" x14ac:dyDescent="0.25">
      <c r="A304" s="93"/>
      <c r="B304" s="96"/>
      <c r="C304" s="30" t="s">
        <v>669</v>
      </c>
      <c r="D304" s="27" t="s">
        <v>7</v>
      </c>
      <c r="E304" s="4">
        <v>10</v>
      </c>
      <c r="F304" s="32">
        <v>955</v>
      </c>
      <c r="G304" s="32">
        <v>9550</v>
      </c>
      <c r="H304" s="5"/>
    </row>
    <row r="305" spans="1:8" ht="15" customHeight="1" x14ac:dyDescent="0.25">
      <c r="A305" s="93"/>
      <c r="B305" s="96"/>
      <c r="C305" s="30" t="s">
        <v>667</v>
      </c>
      <c r="D305" s="27" t="s">
        <v>7</v>
      </c>
      <c r="E305" s="4">
        <v>5</v>
      </c>
      <c r="F305" s="32">
        <v>255.67</v>
      </c>
      <c r="G305" s="32">
        <v>1278.3499999999999</v>
      </c>
      <c r="H305" s="5"/>
    </row>
    <row r="306" spans="1:8" ht="15" customHeight="1" x14ac:dyDescent="0.25">
      <c r="A306" s="93"/>
      <c r="B306" s="96"/>
      <c r="C306" s="21" t="s">
        <v>670</v>
      </c>
      <c r="D306" s="3" t="s">
        <v>7</v>
      </c>
      <c r="E306" s="4">
        <v>2</v>
      </c>
      <c r="F306" s="32">
        <v>4950</v>
      </c>
      <c r="G306" s="32">
        <v>9900</v>
      </c>
      <c r="H306" s="5"/>
    </row>
    <row r="307" spans="1:8" ht="15" customHeight="1" x14ac:dyDescent="0.25">
      <c r="A307" s="40"/>
      <c r="B307" s="98"/>
      <c r="C307" s="8" t="s">
        <v>9</v>
      </c>
      <c r="D307" s="7"/>
      <c r="E307" s="9"/>
      <c r="F307" s="61"/>
      <c r="G307" s="61">
        <f>SUM(G280:G306)</f>
        <v>68332.87</v>
      </c>
      <c r="H307" s="8"/>
    </row>
    <row r="308" spans="1:8" ht="15" customHeight="1" x14ac:dyDescent="0.25">
      <c r="A308" s="92">
        <v>10</v>
      </c>
      <c r="B308" s="95" t="s">
        <v>32</v>
      </c>
      <c r="C308" s="30" t="s">
        <v>347</v>
      </c>
      <c r="D308" s="27" t="s">
        <v>7</v>
      </c>
      <c r="E308" s="4">
        <v>4</v>
      </c>
      <c r="F308" s="32">
        <v>8876.2999999999993</v>
      </c>
      <c r="G308" s="32">
        <v>35505.199999999997</v>
      </c>
      <c r="H308" s="5" t="s">
        <v>397</v>
      </c>
    </row>
    <row r="309" spans="1:8" ht="15" customHeight="1" x14ac:dyDescent="0.25">
      <c r="A309" s="93"/>
      <c r="B309" s="96"/>
      <c r="C309" s="30" t="s">
        <v>649</v>
      </c>
      <c r="D309" s="27" t="s">
        <v>7</v>
      </c>
      <c r="E309" s="4">
        <v>4</v>
      </c>
      <c r="F309" s="32">
        <v>166.05</v>
      </c>
      <c r="G309" s="32">
        <v>666</v>
      </c>
      <c r="H309" s="5"/>
    </row>
    <row r="310" spans="1:8" ht="15.75" x14ac:dyDescent="0.25">
      <c r="A310" s="93"/>
      <c r="B310" s="96"/>
      <c r="C310" s="30" t="s">
        <v>650</v>
      </c>
      <c r="D310" s="27" t="s">
        <v>7</v>
      </c>
      <c r="E310" s="4">
        <v>4</v>
      </c>
      <c r="F310" s="32">
        <v>83.62</v>
      </c>
      <c r="G310" s="32">
        <v>334.48</v>
      </c>
      <c r="H310" s="5"/>
    </row>
    <row r="311" spans="1:8" ht="15.75" x14ac:dyDescent="0.25">
      <c r="A311" s="93"/>
      <c r="B311" s="96"/>
      <c r="C311" s="30" t="s">
        <v>651</v>
      </c>
      <c r="D311" s="27" t="s">
        <v>7</v>
      </c>
      <c r="E311" s="4">
        <v>4</v>
      </c>
      <c r="F311" s="32">
        <v>187.96</v>
      </c>
      <c r="G311" s="32">
        <v>751.84</v>
      </c>
      <c r="H311" s="5"/>
    </row>
    <row r="312" spans="1:8" ht="15.75" x14ac:dyDescent="0.25">
      <c r="A312" s="93"/>
      <c r="B312" s="96"/>
      <c r="C312" s="57" t="s">
        <v>652</v>
      </c>
      <c r="D312" s="27" t="s">
        <v>7</v>
      </c>
      <c r="E312" s="34">
        <v>12</v>
      </c>
      <c r="F312" s="58">
        <v>8.32</v>
      </c>
      <c r="G312" s="58">
        <v>99.84</v>
      </c>
      <c r="H312" s="5"/>
    </row>
    <row r="313" spans="1:8" ht="15.75" x14ac:dyDescent="0.25">
      <c r="A313" s="93"/>
      <c r="B313" s="96"/>
      <c r="C313" s="57" t="s">
        <v>653</v>
      </c>
      <c r="D313" s="27" t="s">
        <v>7</v>
      </c>
      <c r="E313" s="34">
        <v>22</v>
      </c>
      <c r="F313" s="58">
        <v>10</v>
      </c>
      <c r="G313" s="58">
        <v>220</v>
      </c>
      <c r="H313" s="5"/>
    </row>
    <row r="314" spans="1:8" ht="15.75" x14ac:dyDescent="0.25">
      <c r="A314" s="93"/>
      <c r="B314" s="96"/>
      <c r="C314" s="57" t="s">
        <v>654</v>
      </c>
      <c r="D314" s="27" t="s">
        <v>7</v>
      </c>
      <c r="E314" s="34">
        <v>6</v>
      </c>
      <c r="F314" s="58">
        <v>20</v>
      </c>
      <c r="G314" s="58">
        <v>120</v>
      </c>
      <c r="H314" s="5"/>
    </row>
    <row r="315" spans="1:8" ht="15.75" x14ac:dyDescent="0.25">
      <c r="A315" s="93"/>
      <c r="B315" s="96"/>
      <c r="C315" s="57" t="s">
        <v>655</v>
      </c>
      <c r="D315" s="27" t="s">
        <v>7</v>
      </c>
      <c r="E315" s="34">
        <v>4</v>
      </c>
      <c r="F315" s="58">
        <v>30</v>
      </c>
      <c r="G315" s="58">
        <v>120</v>
      </c>
      <c r="H315" s="5"/>
    </row>
    <row r="316" spans="1:8" ht="15.75" x14ac:dyDescent="0.25">
      <c r="A316" s="93"/>
      <c r="B316" s="96"/>
      <c r="C316" s="57" t="s">
        <v>656</v>
      </c>
      <c r="D316" s="27" t="s">
        <v>7</v>
      </c>
      <c r="E316" s="34">
        <v>1</v>
      </c>
      <c r="F316" s="58">
        <v>31</v>
      </c>
      <c r="G316" s="58">
        <v>31</v>
      </c>
      <c r="H316" s="5"/>
    </row>
    <row r="317" spans="1:8" ht="15.75" x14ac:dyDescent="0.25">
      <c r="A317" s="93"/>
      <c r="B317" s="96"/>
      <c r="C317" s="57" t="s">
        <v>657</v>
      </c>
      <c r="D317" s="27" t="s">
        <v>7</v>
      </c>
      <c r="E317" s="34">
        <v>12</v>
      </c>
      <c r="F317" s="58">
        <v>10</v>
      </c>
      <c r="G317" s="58">
        <v>120</v>
      </c>
      <c r="H317" s="5"/>
    </row>
    <row r="318" spans="1:8" ht="15.75" x14ac:dyDescent="0.25">
      <c r="A318" s="93"/>
      <c r="B318" s="96"/>
      <c r="C318" s="57" t="s">
        <v>658</v>
      </c>
      <c r="D318" s="27" t="s">
        <v>7</v>
      </c>
      <c r="E318" s="34">
        <v>2</v>
      </c>
      <c r="F318" s="58">
        <v>30</v>
      </c>
      <c r="G318" s="58">
        <v>60</v>
      </c>
      <c r="H318" s="5"/>
    </row>
    <row r="319" spans="1:8" ht="15.75" x14ac:dyDescent="0.25">
      <c r="A319" s="93"/>
      <c r="B319" s="96"/>
      <c r="C319" s="57" t="s">
        <v>659</v>
      </c>
      <c r="D319" s="27" t="s">
        <v>7</v>
      </c>
      <c r="E319" s="34">
        <v>1</v>
      </c>
      <c r="F319" s="58">
        <v>100</v>
      </c>
      <c r="G319" s="58">
        <v>100</v>
      </c>
      <c r="H319" s="5"/>
    </row>
    <row r="320" spans="1:8" ht="15.75" x14ac:dyDescent="0.25">
      <c r="A320" s="93"/>
      <c r="B320" s="96"/>
      <c r="C320" s="57" t="s">
        <v>636</v>
      </c>
      <c r="D320" s="27" t="s">
        <v>7</v>
      </c>
      <c r="E320" s="34">
        <v>4</v>
      </c>
      <c r="F320" s="58">
        <v>50</v>
      </c>
      <c r="G320" s="58">
        <v>200</v>
      </c>
      <c r="H320" s="5"/>
    </row>
    <row r="321" spans="1:8" ht="15.75" x14ac:dyDescent="0.25">
      <c r="A321" s="93"/>
      <c r="B321" s="96"/>
      <c r="C321" s="57" t="s">
        <v>660</v>
      </c>
      <c r="D321" s="27" t="s">
        <v>7</v>
      </c>
      <c r="E321" s="34">
        <v>12</v>
      </c>
      <c r="F321" s="58">
        <v>15</v>
      </c>
      <c r="G321" s="58">
        <v>180</v>
      </c>
      <c r="H321" s="5"/>
    </row>
    <row r="322" spans="1:8" ht="15.75" x14ac:dyDescent="0.25">
      <c r="A322" s="93"/>
      <c r="B322" s="96"/>
      <c r="C322" s="57" t="s">
        <v>661</v>
      </c>
      <c r="D322" s="27" t="s">
        <v>7</v>
      </c>
      <c r="E322" s="34">
        <v>22</v>
      </c>
      <c r="F322" s="58">
        <v>10</v>
      </c>
      <c r="G322" s="58">
        <v>220</v>
      </c>
      <c r="H322" s="5"/>
    </row>
    <row r="323" spans="1:8" ht="15.75" x14ac:dyDescent="0.25">
      <c r="A323" s="93"/>
      <c r="B323" s="96"/>
      <c r="C323" s="57" t="s">
        <v>16</v>
      </c>
      <c r="D323" s="27" t="s">
        <v>163</v>
      </c>
      <c r="E323" s="34">
        <v>1</v>
      </c>
      <c r="F323" s="58">
        <v>200</v>
      </c>
      <c r="G323" s="58">
        <v>200</v>
      </c>
      <c r="H323" s="5"/>
    </row>
    <row r="324" spans="1:8" ht="15.75" x14ac:dyDescent="0.25">
      <c r="A324" s="93"/>
      <c r="B324" s="96"/>
      <c r="C324" s="57" t="s">
        <v>662</v>
      </c>
      <c r="D324" s="27" t="s">
        <v>7</v>
      </c>
      <c r="E324" s="34">
        <v>8</v>
      </c>
      <c r="F324" s="58">
        <v>20</v>
      </c>
      <c r="G324" s="58">
        <v>160</v>
      </c>
      <c r="H324" s="5"/>
    </row>
    <row r="325" spans="1:8" ht="15.75" x14ac:dyDescent="0.25">
      <c r="A325" s="93"/>
      <c r="B325" s="96"/>
      <c r="C325" s="57" t="s">
        <v>663</v>
      </c>
      <c r="D325" s="27" t="s">
        <v>163</v>
      </c>
      <c r="E325" s="34">
        <v>3</v>
      </c>
      <c r="F325" s="58">
        <v>30</v>
      </c>
      <c r="G325" s="58">
        <v>90</v>
      </c>
      <c r="H325" s="5"/>
    </row>
    <row r="326" spans="1:8" ht="15.75" x14ac:dyDescent="0.25">
      <c r="A326" s="93"/>
      <c r="B326" s="96"/>
      <c r="C326" s="57" t="s">
        <v>14</v>
      </c>
      <c r="D326" s="27" t="s">
        <v>163</v>
      </c>
      <c r="E326" s="34">
        <v>7</v>
      </c>
      <c r="F326" s="58">
        <v>30</v>
      </c>
      <c r="G326" s="58">
        <v>210</v>
      </c>
      <c r="H326" s="5"/>
    </row>
    <row r="327" spans="1:8" ht="15.75" x14ac:dyDescent="0.25">
      <c r="A327" s="93"/>
      <c r="B327" s="96"/>
      <c r="C327" s="57" t="s">
        <v>664</v>
      </c>
      <c r="D327" s="27" t="s">
        <v>163</v>
      </c>
      <c r="E327" s="34">
        <f>5+4+3</f>
        <v>12</v>
      </c>
      <c r="F327" s="58"/>
      <c r="G327" s="58">
        <f>847.95+699.76+546</f>
        <v>2093.71</v>
      </c>
      <c r="H327" s="5"/>
    </row>
    <row r="328" spans="1:8" ht="15.75" x14ac:dyDescent="0.25">
      <c r="A328" s="93"/>
      <c r="B328" s="96"/>
      <c r="C328" s="57" t="s">
        <v>539</v>
      </c>
      <c r="D328" s="27" t="s">
        <v>7</v>
      </c>
      <c r="E328" s="34">
        <v>10</v>
      </c>
      <c r="F328" s="58">
        <v>682.65</v>
      </c>
      <c r="G328" s="58">
        <v>6826.5</v>
      </c>
      <c r="H328" s="5"/>
    </row>
    <row r="329" spans="1:8" ht="15.75" x14ac:dyDescent="0.25">
      <c r="A329" s="93"/>
      <c r="B329" s="96"/>
      <c r="C329" s="57" t="s">
        <v>65</v>
      </c>
      <c r="D329" s="27" t="s">
        <v>7</v>
      </c>
      <c r="E329" s="34">
        <v>1</v>
      </c>
      <c r="F329" s="58">
        <v>6529.45</v>
      </c>
      <c r="G329" s="58">
        <v>6529.45</v>
      </c>
      <c r="H329" s="5"/>
    </row>
    <row r="330" spans="1:8" ht="15.75" x14ac:dyDescent="0.25">
      <c r="A330" s="93"/>
      <c r="B330" s="96"/>
      <c r="C330" s="57" t="s">
        <v>65</v>
      </c>
      <c r="D330" s="27" t="s">
        <v>7</v>
      </c>
      <c r="E330" s="34">
        <v>1</v>
      </c>
      <c r="F330" s="58">
        <v>2378.38</v>
      </c>
      <c r="G330" s="58">
        <v>2378.38</v>
      </c>
      <c r="H330" s="5"/>
    </row>
    <row r="331" spans="1:8" ht="15.75" x14ac:dyDescent="0.25">
      <c r="A331" s="93"/>
      <c r="B331" s="96"/>
      <c r="C331" s="57" t="s">
        <v>666</v>
      </c>
      <c r="D331" s="27" t="s">
        <v>7</v>
      </c>
      <c r="E331" s="34">
        <v>8</v>
      </c>
      <c r="F331" s="58">
        <v>164.65</v>
      </c>
      <c r="G331" s="58">
        <v>1317.2</v>
      </c>
      <c r="H331" s="5"/>
    </row>
    <row r="332" spans="1:8" ht="15.75" x14ac:dyDescent="0.25">
      <c r="A332" s="93"/>
      <c r="B332" s="96"/>
      <c r="C332" s="57" t="s">
        <v>668</v>
      </c>
      <c r="D332" s="27" t="s">
        <v>7</v>
      </c>
      <c r="E332" s="34">
        <v>4</v>
      </c>
      <c r="F332" s="58">
        <v>190.92</v>
      </c>
      <c r="G332" s="58">
        <v>763.68</v>
      </c>
      <c r="H332" s="5"/>
    </row>
    <row r="333" spans="1:8" ht="15.75" x14ac:dyDescent="0.25">
      <c r="A333" s="93"/>
      <c r="B333" s="96"/>
      <c r="C333" s="30" t="s">
        <v>669</v>
      </c>
      <c r="D333" s="27" t="s">
        <v>7</v>
      </c>
      <c r="E333" s="4">
        <v>10</v>
      </c>
      <c r="F333" s="32">
        <v>955</v>
      </c>
      <c r="G333" s="32">
        <v>9550</v>
      </c>
      <c r="H333" s="5"/>
    </row>
    <row r="334" spans="1:8" ht="15.75" x14ac:dyDescent="0.25">
      <c r="A334" s="93"/>
      <c r="B334" s="96"/>
      <c r="C334" s="30" t="s">
        <v>667</v>
      </c>
      <c r="D334" s="27" t="s">
        <v>7</v>
      </c>
      <c r="E334" s="4">
        <v>5</v>
      </c>
      <c r="F334" s="32">
        <v>255.67</v>
      </c>
      <c r="G334" s="32">
        <v>1278.3499999999999</v>
      </c>
      <c r="H334" s="5"/>
    </row>
    <row r="335" spans="1:8" x14ac:dyDescent="0.25">
      <c r="A335" s="94"/>
      <c r="B335" s="97"/>
      <c r="C335" s="21" t="s">
        <v>670</v>
      </c>
      <c r="D335" s="3" t="s">
        <v>7</v>
      </c>
      <c r="E335" s="4">
        <v>1</v>
      </c>
      <c r="F335" s="32">
        <v>4950</v>
      </c>
      <c r="G335" s="32">
        <v>4950</v>
      </c>
      <c r="H335" s="5"/>
    </row>
    <row r="336" spans="1:8" ht="25.5" x14ac:dyDescent="0.25">
      <c r="A336" s="40"/>
      <c r="B336" s="98"/>
      <c r="C336" s="8" t="s">
        <v>9</v>
      </c>
      <c r="D336" s="7"/>
      <c r="E336" s="9"/>
      <c r="F336" s="61"/>
      <c r="G336" s="61">
        <f>SUM(G308:G335)</f>
        <v>75075.62999999999</v>
      </c>
      <c r="H336" s="8"/>
    </row>
    <row r="337" spans="1:8" ht="15.75" x14ac:dyDescent="0.25">
      <c r="A337" s="92">
        <v>11</v>
      </c>
      <c r="B337" s="95" t="s">
        <v>69</v>
      </c>
      <c r="C337" s="31" t="s">
        <v>645</v>
      </c>
      <c r="D337" s="27" t="s">
        <v>7</v>
      </c>
      <c r="E337" s="28">
        <v>10</v>
      </c>
      <c r="F337" s="33">
        <v>15</v>
      </c>
      <c r="G337" s="33">
        <v>150</v>
      </c>
      <c r="H337" s="5" t="s">
        <v>397</v>
      </c>
    </row>
    <row r="338" spans="1:8" ht="15.75" x14ac:dyDescent="0.25">
      <c r="A338" s="93"/>
      <c r="B338" s="96"/>
      <c r="C338" s="30" t="s">
        <v>347</v>
      </c>
      <c r="D338" s="27" t="s">
        <v>7</v>
      </c>
      <c r="E338" s="4">
        <v>2</v>
      </c>
      <c r="F338" s="32">
        <v>8876.2999999999993</v>
      </c>
      <c r="G338" s="32">
        <v>17752.599999999999</v>
      </c>
      <c r="H338" s="5"/>
    </row>
    <row r="339" spans="1:8" ht="15.75" x14ac:dyDescent="0.25">
      <c r="A339" s="93"/>
      <c r="B339" s="96"/>
      <c r="C339" s="30" t="s">
        <v>649</v>
      </c>
      <c r="D339" s="27" t="s">
        <v>7</v>
      </c>
      <c r="E339" s="4">
        <v>2</v>
      </c>
      <c r="F339" s="32">
        <v>166.05</v>
      </c>
      <c r="G339" s="32">
        <v>333</v>
      </c>
      <c r="H339" s="5"/>
    </row>
    <row r="340" spans="1:8" ht="15.75" x14ac:dyDescent="0.25">
      <c r="A340" s="93"/>
      <c r="B340" s="96"/>
      <c r="C340" s="30" t="s">
        <v>650</v>
      </c>
      <c r="D340" s="27" t="s">
        <v>7</v>
      </c>
      <c r="E340" s="4">
        <v>2</v>
      </c>
      <c r="F340" s="32">
        <v>83.62</v>
      </c>
      <c r="G340" s="32">
        <v>167.24</v>
      </c>
      <c r="H340" s="5"/>
    </row>
    <row r="341" spans="1:8" ht="15.75" x14ac:dyDescent="0.25">
      <c r="A341" s="93"/>
      <c r="B341" s="96"/>
      <c r="C341" s="30" t="s">
        <v>651</v>
      </c>
      <c r="D341" s="27" t="s">
        <v>7</v>
      </c>
      <c r="E341" s="4">
        <v>2</v>
      </c>
      <c r="F341" s="32">
        <v>187.96</v>
      </c>
      <c r="G341" s="32">
        <v>375.92</v>
      </c>
      <c r="H341" s="5"/>
    </row>
    <row r="342" spans="1:8" ht="15.75" x14ac:dyDescent="0.25">
      <c r="A342" s="93"/>
      <c r="B342" s="96"/>
      <c r="C342" s="57" t="s">
        <v>652</v>
      </c>
      <c r="D342" s="27" t="s">
        <v>7</v>
      </c>
      <c r="E342" s="34">
        <v>12</v>
      </c>
      <c r="F342" s="58">
        <v>8.32</v>
      </c>
      <c r="G342" s="58">
        <v>99.84</v>
      </c>
      <c r="H342" s="5"/>
    </row>
    <row r="343" spans="1:8" ht="15.75" x14ac:dyDescent="0.25">
      <c r="A343" s="93"/>
      <c r="B343" s="96"/>
      <c r="C343" s="57" t="s">
        <v>653</v>
      </c>
      <c r="D343" s="27" t="s">
        <v>7</v>
      </c>
      <c r="E343" s="34">
        <v>24</v>
      </c>
      <c r="F343" s="58">
        <v>10</v>
      </c>
      <c r="G343" s="33">
        <v>240</v>
      </c>
      <c r="H343" s="5"/>
    </row>
    <row r="344" spans="1:8" ht="15.75" x14ac:dyDescent="0.25">
      <c r="A344" s="93"/>
      <c r="B344" s="96"/>
      <c r="C344" s="57" t="s">
        <v>654</v>
      </c>
      <c r="D344" s="27" t="s">
        <v>7</v>
      </c>
      <c r="E344" s="34">
        <v>6</v>
      </c>
      <c r="F344" s="58">
        <v>20</v>
      </c>
      <c r="G344" s="33">
        <v>120</v>
      </c>
      <c r="H344" s="5"/>
    </row>
    <row r="345" spans="1:8" ht="15.75" x14ac:dyDescent="0.25">
      <c r="A345" s="93"/>
      <c r="B345" s="96"/>
      <c r="C345" s="57" t="s">
        <v>655</v>
      </c>
      <c r="D345" s="27" t="s">
        <v>7</v>
      </c>
      <c r="E345" s="34">
        <v>4</v>
      </c>
      <c r="F345" s="58">
        <v>30</v>
      </c>
      <c r="G345" s="33">
        <v>120</v>
      </c>
      <c r="H345" s="5"/>
    </row>
    <row r="346" spans="1:8" ht="15.75" x14ac:dyDescent="0.25">
      <c r="A346" s="93"/>
      <c r="B346" s="96"/>
      <c r="C346" s="57" t="s">
        <v>656</v>
      </c>
      <c r="D346" s="27" t="s">
        <v>7</v>
      </c>
      <c r="E346" s="34">
        <v>2</v>
      </c>
      <c r="F346" s="58">
        <v>31</v>
      </c>
      <c r="G346" s="33">
        <v>62</v>
      </c>
      <c r="H346" s="5"/>
    </row>
    <row r="347" spans="1:8" ht="15.75" x14ac:dyDescent="0.25">
      <c r="A347" s="93"/>
      <c r="B347" s="96"/>
      <c r="C347" s="57" t="s">
        <v>657</v>
      </c>
      <c r="D347" s="27" t="s">
        <v>7</v>
      </c>
      <c r="E347" s="34">
        <v>14</v>
      </c>
      <c r="F347" s="58">
        <v>10</v>
      </c>
      <c r="G347" s="33">
        <v>140</v>
      </c>
      <c r="H347" s="5"/>
    </row>
    <row r="348" spans="1:8" ht="15.75" x14ac:dyDescent="0.25">
      <c r="A348" s="93"/>
      <c r="B348" s="96"/>
      <c r="C348" s="57" t="s">
        <v>658</v>
      </c>
      <c r="D348" s="27" t="s">
        <v>7</v>
      </c>
      <c r="E348" s="34">
        <v>3</v>
      </c>
      <c r="F348" s="58">
        <v>30</v>
      </c>
      <c r="G348" s="33">
        <v>90</v>
      </c>
      <c r="H348" s="5"/>
    </row>
    <row r="349" spans="1:8" ht="15.75" x14ac:dyDescent="0.25">
      <c r="A349" s="93"/>
      <c r="B349" s="96"/>
      <c r="C349" s="57" t="s">
        <v>659</v>
      </c>
      <c r="D349" s="27" t="s">
        <v>7</v>
      </c>
      <c r="E349" s="34">
        <v>2</v>
      </c>
      <c r="F349" s="58">
        <v>100</v>
      </c>
      <c r="G349" s="33">
        <v>200</v>
      </c>
      <c r="H349" s="5"/>
    </row>
    <row r="350" spans="1:8" ht="15.75" x14ac:dyDescent="0.25">
      <c r="A350" s="93"/>
      <c r="B350" s="96"/>
      <c r="C350" s="57" t="s">
        <v>636</v>
      </c>
      <c r="D350" s="27" t="s">
        <v>7</v>
      </c>
      <c r="E350" s="34">
        <v>4</v>
      </c>
      <c r="F350" s="58">
        <v>50</v>
      </c>
      <c r="G350" s="33">
        <v>200</v>
      </c>
      <c r="H350" s="5"/>
    </row>
    <row r="351" spans="1:8" ht="15.75" x14ac:dyDescent="0.25">
      <c r="A351" s="93"/>
      <c r="B351" s="96"/>
      <c r="C351" s="57" t="s">
        <v>660</v>
      </c>
      <c r="D351" s="27" t="s">
        <v>7</v>
      </c>
      <c r="E351" s="34">
        <v>12</v>
      </c>
      <c r="F351" s="58">
        <v>15</v>
      </c>
      <c r="G351" s="33">
        <v>180</v>
      </c>
      <c r="H351" s="5"/>
    </row>
    <row r="352" spans="1:8" ht="15.75" x14ac:dyDescent="0.25">
      <c r="A352" s="93"/>
      <c r="B352" s="96"/>
      <c r="C352" s="57" t="s">
        <v>661</v>
      </c>
      <c r="D352" s="27" t="s">
        <v>7</v>
      </c>
      <c r="E352" s="34">
        <v>22</v>
      </c>
      <c r="F352" s="58">
        <v>10</v>
      </c>
      <c r="G352" s="33">
        <v>220</v>
      </c>
      <c r="H352" s="5"/>
    </row>
    <row r="353" spans="1:8" ht="15.75" x14ac:dyDescent="0.25">
      <c r="A353" s="93"/>
      <c r="B353" s="96"/>
      <c r="C353" s="57" t="s">
        <v>16</v>
      </c>
      <c r="D353" s="27" t="s">
        <v>163</v>
      </c>
      <c r="E353" s="34">
        <v>2</v>
      </c>
      <c r="F353" s="58">
        <v>200</v>
      </c>
      <c r="G353" s="33">
        <v>400</v>
      </c>
      <c r="H353" s="5"/>
    </row>
    <row r="354" spans="1:8" ht="15.75" x14ac:dyDescent="0.25">
      <c r="A354" s="93"/>
      <c r="B354" s="96"/>
      <c r="C354" s="57" t="s">
        <v>662</v>
      </c>
      <c r="D354" s="27" t="s">
        <v>7</v>
      </c>
      <c r="E354" s="34">
        <v>8</v>
      </c>
      <c r="F354" s="58">
        <v>20</v>
      </c>
      <c r="G354" s="33">
        <v>160</v>
      </c>
      <c r="H354" s="5"/>
    </row>
    <row r="355" spans="1:8" ht="15.75" x14ac:dyDescent="0.25">
      <c r="A355" s="93"/>
      <c r="B355" s="96"/>
      <c r="C355" s="57" t="s">
        <v>663</v>
      </c>
      <c r="D355" s="27" t="s">
        <v>163</v>
      </c>
      <c r="E355" s="34">
        <v>3</v>
      </c>
      <c r="F355" s="58">
        <v>30</v>
      </c>
      <c r="G355" s="33">
        <v>90</v>
      </c>
      <c r="H355" s="5"/>
    </row>
    <row r="356" spans="1:8" ht="15.75" x14ac:dyDescent="0.25">
      <c r="A356" s="93"/>
      <c r="B356" s="96"/>
      <c r="C356" s="57" t="s">
        <v>14</v>
      </c>
      <c r="D356" s="27" t="s">
        <v>163</v>
      </c>
      <c r="E356" s="34">
        <v>7</v>
      </c>
      <c r="F356" s="58">
        <v>30</v>
      </c>
      <c r="G356" s="33">
        <v>210</v>
      </c>
      <c r="H356" s="5"/>
    </row>
    <row r="357" spans="1:8" ht="15.75" x14ac:dyDescent="0.25">
      <c r="A357" s="93"/>
      <c r="B357" s="96"/>
      <c r="C357" s="57" t="s">
        <v>664</v>
      </c>
      <c r="D357" s="27" t="s">
        <v>163</v>
      </c>
      <c r="E357" s="34">
        <v>12</v>
      </c>
      <c r="F357" s="58">
        <f>G357/E357</f>
        <v>174.47583333333333</v>
      </c>
      <c r="G357" s="33">
        <f>847.95+699.76+546</f>
        <v>2093.71</v>
      </c>
      <c r="H357" s="5"/>
    </row>
    <row r="358" spans="1:8" ht="15.75" x14ac:dyDescent="0.25">
      <c r="A358" s="93"/>
      <c r="B358" s="96"/>
      <c r="C358" s="57" t="s">
        <v>539</v>
      </c>
      <c r="D358" s="27" t="s">
        <v>7</v>
      </c>
      <c r="E358" s="34">
        <v>10</v>
      </c>
      <c r="F358" s="58">
        <v>682.65</v>
      </c>
      <c r="G358" s="58">
        <v>6826.5</v>
      </c>
      <c r="H358" s="5"/>
    </row>
    <row r="359" spans="1:8" ht="15.75" x14ac:dyDescent="0.25">
      <c r="A359" s="93"/>
      <c r="B359" s="96"/>
      <c r="C359" s="57" t="s">
        <v>65</v>
      </c>
      <c r="D359" s="27" t="s">
        <v>7</v>
      </c>
      <c r="E359" s="34">
        <v>1</v>
      </c>
      <c r="F359" s="58">
        <v>2378.38</v>
      </c>
      <c r="G359" s="58">
        <v>2378.38</v>
      </c>
      <c r="H359" s="5"/>
    </row>
    <row r="360" spans="1:8" ht="15.75" x14ac:dyDescent="0.25">
      <c r="A360" s="93"/>
      <c r="B360" s="96"/>
      <c r="C360" s="57" t="s">
        <v>65</v>
      </c>
      <c r="D360" s="27" t="s">
        <v>7</v>
      </c>
      <c r="E360" s="34">
        <v>1</v>
      </c>
      <c r="F360" s="58">
        <v>6529.45</v>
      </c>
      <c r="G360" s="58">
        <v>6529.45</v>
      </c>
      <c r="H360" s="5"/>
    </row>
    <row r="361" spans="1:8" ht="15.75" x14ac:dyDescent="0.25">
      <c r="A361" s="93"/>
      <c r="B361" s="96"/>
      <c r="C361" s="57" t="s">
        <v>666</v>
      </c>
      <c r="D361" s="27" t="s">
        <v>7</v>
      </c>
      <c r="E361" s="34">
        <v>8</v>
      </c>
      <c r="F361" s="58">
        <v>164.65</v>
      </c>
      <c r="G361" s="58">
        <v>1317.2</v>
      </c>
      <c r="H361" s="5"/>
    </row>
    <row r="362" spans="1:8" ht="15.75" x14ac:dyDescent="0.25">
      <c r="A362" s="93"/>
      <c r="B362" s="96"/>
      <c r="C362" s="57" t="s">
        <v>668</v>
      </c>
      <c r="D362" s="27" t="s">
        <v>7</v>
      </c>
      <c r="E362" s="34">
        <v>4</v>
      </c>
      <c r="F362" s="58">
        <v>190.92</v>
      </c>
      <c r="G362" s="58">
        <v>763.68</v>
      </c>
      <c r="H362" s="5" t="s">
        <v>397</v>
      </c>
    </row>
    <row r="363" spans="1:8" ht="15.75" x14ac:dyDescent="0.25">
      <c r="A363" s="93"/>
      <c r="B363" s="96"/>
      <c r="C363" s="30" t="s">
        <v>669</v>
      </c>
      <c r="D363" s="27" t="s">
        <v>7</v>
      </c>
      <c r="E363" s="4">
        <v>10</v>
      </c>
      <c r="F363" s="32">
        <v>955</v>
      </c>
      <c r="G363" s="32">
        <v>9550</v>
      </c>
      <c r="H363" s="5" t="s">
        <v>397</v>
      </c>
    </row>
    <row r="364" spans="1:8" ht="15.75" x14ac:dyDescent="0.25">
      <c r="A364" s="94"/>
      <c r="B364" s="97"/>
      <c r="C364" s="30" t="s">
        <v>667</v>
      </c>
      <c r="D364" s="27" t="s">
        <v>7</v>
      </c>
      <c r="E364" s="4">
        <v>5</v>
      </c>
      <c r="F364" s="32">
        <v>255.67</v>
      </c>
      <c r="G364" s="32">
        <v>1278.3499999999999</v>
      </c>
      <c r="H364" s="5"/>
    </row>
    <row r="365" spans="1:8" ht="25.5" x14ac:dyDescent="0.25">
      <c r="A365" s="40"/>
      <c r="B365" s="98"/>
      <c r="C365" s="8" t="s">
        <v>9</v>
      </c>
      <c r="D365" s="7"/>
      <c r="E365" s="9"/>
      <c r="F365" s="61"/>
      <c r="G365" s="61">
        <f>SUM(G337:G364)</f>
        <v>52047.869999999995</v>
      </c>
      <c r="H365" s="8"/>
    </row>
    <row r="366" spans="1:8" ht="15.75" x14ac:dyDescent="0.25">
      <c r="A366" s="82">
        <v>12</v>
      </c>
      <c r="B366" s="88" t="s">
        <v>91</v>
      </c>
      <c r="C366" s="30" t="s">
        <v>347</v>
      </c>
      <c r="D366" s="27" t="s">
        <v>7</v>
      </c>
      <c r="E366" s="4">
        <v>3</v>
      </c>
      <c r="F366" s="32">
        <v>8876.2999999999993</v>
      </c>
      <c r="G366" s="32">
        <v>26628.9</v>
      </c>
      <c r="H366" s="2" t="s">
        <v>398</v>
      </c>
    </row>
    <row r="367" spans="1:8" ht="15.75" x14ac:dyDescent="0.25">
      <c r="A367" s="87"/>
      <c r="B367" s="89"/>
      <c r="C367" s="30" t="s">
        <v>649</v>
      </c>
      <c r="D367" s="27" t="s">
        <v>7</v>
      </c>
      <c r="E367" s="4">
        <v>3</v>
      </c>
      <c r="F367" s="32">
        <v>166.05</v>
      </c>
      <c r="G367" s="32">
        <v>499.5</v>
      </c>
      <c r="H367" s="2"/>
    </row>
    <row r="368" spans="1:8" ht="15.75" x14ac:dyDescent="0.25">
      <c r="A368" s="87"/>
      <c r="B368" s="89"/>
      <c r="C368" s="30" t="s">
        <v>650</v>
      </c>
      <c r="D368" s="27" t="s">
        <v>7</v>
      </c>
      <c r="E368" s="4">
        <v>3</v>
      </c>
      <c r="F368" s="32">
        <v>83.62</v>
      </c>
      <c r="G368" s="32">
        <v>250.86</v>
      </c>
      <c r="H368" s="2"/>
    </row>
    <row r="369" spans="1:8" ht="15.75" x14ac:dyDescent="0.25">
      <c r="A369" s="87"/>
      <c r="B369" s="89"/>
      <c r="C369" s="30" t="s">
        <v>651</v>
      </c>
      <c r="D369" s="27" t="s">
        <v>7</v>
      </c>
      <c r="E369" s="4">
        <v>3</v>
      </c>
      <c r="F369" s="32">
        <v>187.96</v>
      </c>
      <c r="G369" s="32">
        <v>563.88</v>
      </c>
      <c r="H369" s="2"/>
    </row>
    <row r="370" spans="1:8" ht="15.75" x14ac:dyDescent="0.25">
      <c r="A370" s="87"/>
      <c r="B370" s="89"/>
      <c r="C370" s="57" t="s">
        <v>652</v>
      </c>
      <c r="D370" s="27" t="s">
        <v>7</v>
      </c>
      <c r="E370" s="34">
        <v>36</v>
      </c>
      <c r="F370" s="58">
        <v>8.32</v>
      </c>
      <c r="G370" s="58">
        <v>299.52</v>
      </c>
      <c r="H370" s="2"/>
    </row>
    <row r="371" spans="1:8" ht="15.75" x14ac:dyDescent="0.25">
      <c r="A371" s="87"/>
      <c r="B371" s="89"/>
      <c r="C371" s="57" t="s">
        <v>653</v>
      </c>
      <c r="D371" s="27" t="s">
        <v>7</v>
      </c>
      <c r="E371" s="34">
        <v>22</v>
      </c>
      <c r="F371" s="58">
        <v>10</v>
      </c>
      <c r="G371" s="58">
        <v>220</v>
      </c>
      <c r="H371" s="2"/>
    </row>
    <row r="372" spans="1:8" ht="15.75" x14ac:dyDescent="0.25">
      <c r="A372" s="87"/>
      <c r="B372" s="89"/>
      <c r="C372" s="57" t="s">
        <v>654</v>
      </c>
      <c r="D372" s="27" t="s">
        <v>7</v>
      </c>
      <c r="E372" s="34">
        <v>6</v>
      </c>
      <c r="F372" s="58">
        <v>20</v>
      </c>
      <c r="G372" s="58">
        <v>120</v>
      </c>
      <c r="H372" s="2"/>
    </row>
    <row r="373" spans="1:8" ht="15.75" x14ac:dyDescent="0.25">
      <c r="A373" s="87"/>
      <c r="B373" s="89"/>
      <c r="C373" s="57" t="s">
        <v>655</v>
      </c>
      <c r="D373" s="27" t="s">
        <v>7</v>
      </c>
      <c r="E373" s="34">
        <v>4</v>
      </c>
      <c r="F373" s="58">
        <v>30</v>
      </c>
      <c r="G373" s="58">
        <v>120</v>
      </c>
      <c r="H373" s="2"/>
    </row>
    <row r="374" spans="1:8" ht="15.75" x14ac:dyDescent="0.25">
      <c r="A374" s="87"/>
      <c r="B374" s="89"/>
      <c r="C374" s="57" t="s">
        <v>656</v>
      </c>
      <c r="D374" s="27" t="s">
        <v>7</v>
      </c>
      <c r="E374" s="34">
        <v>1</v>
      </c>
      <c r="F374" s="58">
        <v>31</v>
      </c>
      <c r="G374" s="58">
        <v>31</v>
      </c>
      <c r="H374" s="2"/>
    </row>
    <row r="375" spans="1:8" ht="15.75" x14ac:dyDescent="0.25">
      <c r="A375" s="87"/>
      <c r="B375" s="89"/>
      <c r="C375" s="57" t="s">
        <v>657</v>
      </c>
      <c r="D375" s="27" t="s">
        <v>7</v>
      </c>
      <c r="E375" s="34">
        <v>12</v>
      </c>
      <c r="F375" s="58">
        <v>10</v>
      </c>
      <c r="G375" s="58">
        <v>120</v>
      </c>
      <c r="H375" s="2"/>
    </row>
    <row r="376" spans="1:8" ht="15.75" x14ac:dyDescent="0.25">
      <c r="A376" s="87"/>
      <c r="B376" s="89"/>
      <c r="C376" s="57" t="s">
        <v>658</v>
      </c>
      <c r="D376" s="27" t="s">
        <v>7</v>
      </c>
      <c r="E376" s="34">
        <v>3</v>
      </c>
      <c r="F376" s="58">
        <v>30</v>
      </c>
      <c r="G376" s="58">
        <v>90</v>
      </c>
      <c r="H376" s="2"/>
    </row>
    <row r="377" spans="1:8" ht="15.75" x14ac:dyDescent="0.25">
      <c r="A377" s="87"/>
      <c r="B377" s="89"/>
      <c r="C377" s="57" t="s">
        <v>659</v>
      </c>
      <c r="D377" s="27" t="s">
        <v>7</v>
      </c>
      <c r="E377" s="34">
        <v>2</v>
      </c>
      <c r="F377" s="58">
        <v>100</v>
      </c>
      <c r="G377" s="58">
        <v>200</v>
      </c>
      <c r="H377" s="2"/>
    </row>
    <row r="378" spans="1:8" ht="15.75" x14ac:dyDescent="0.25">
      <c r="A378" s="87"/>
      <c r="B378" s="89"/>
      <c r="C378" s="57" t="s">
        <v>636</v>
      </c>
      <c r="D378" s="27" t="s">
        <v>7</v>
      </c>
      <c r="E378" s="34">
        <v>4</v>
      </c>
      <c r="F378" s="58">
        <v>50</v>
      </c>
      <c r="G378" s="58">
        <v>200</v>
      </c>
      <c r="H378" s="2"/>
    </row>
    <row r="379" spans="1:8" ht="15.75" x14ac:dyDescent="0.25">
      <c r="A379" s="87"/>
      <c r="B379" s="89"/>
      <c r="C379" s="57" t="s">
        <v>660</v>
      </c>
      <c r="D379" s="27" t="s">
        <v>7</v>
      </c>
      <c r="E379" s="34">
        <v>12</v>
      </c>
      <c r="F379" s="58">
        <v>15</v>
      </c>
      <c r="G379" s="58">
        <v>180</v>
      </c>
      <c r="H379" s="2"/>
    </row>
    <row r="380" spans="1:8" ht="15.75" x14ac:dyDescent="0.25">
      <c r="A380" s="87"/>
      <c r="B380" s="89"/>
      <c r="C380" s="57" t="s">
        <v>661</v>
      </c>
      <c r="D380" s="27" t="s">
        <v>7</v>
      </c>
      <c r="E380" s="34">
        <v>25</v>
      </c>
      <c r="F380" s="58">
        <v>10</v>
      </c>
      <c r="G380" s="58">
        <v>250</v>
      </c>
      <c r="H380" s="2"/>
    </row>
    <row r="381" spans="1:8" ht="15.75" x14ac:dyDescent="0.25">
      <c r="A381" s="87"/>
      <c r="B381" s="89"/>
      <c r="C381" s="57" t="s">
        <v>16</v>
      </c>
      <c r="D381" s="27" t="s">
        <v>163</v>
      </c>
      <c r="E381" s="34">
        <v>2</v>
      </c>
      <c r="F381" s="58">
        <v>200</v>
      </c>
      <c r="G381" s="58">
        <v>400</v>
      </c>
      <c r="H381" s="2"/>
    </row>
    <row r="382" spans="1:8" ht="15.75" x14ac:dyDescent="0.25">
      <c r="A382" s="87"/>
      <c r="B382" s="89"/>
      <c r="C382" s="57" t="s">
        <v>662</v>
      </c>
      <c r="D382" s="27" t="s">
        <v>7</v>
      </c>
      <c r="E382" s="34">
        <v>8</v>
      </c>
      <c r="F382" s="58">
        <v>20</v>
      </c>
      <c r="G382" s="58">
        <v>160</v>
      </c>
      <c r="H382" s="2"/>
    </row>
    <row r="383" spans="1:8" ht="15.75" x14ac:dyDescent="0.25">
      <c r="A383" s="87"/>
      <c r="B383" s="89"/>
      <c r="C383" s="57" t="s">
        <v>663</v>
      </c>
      <c r="D383" s="27" t="s">
        <v>163</v>
      </c>
      <c r="E383" s="34">
        <v>3</v>
      </c>
      <c r="F383" s="58">
        <v>30</v>
      </c>
      <c r="G383" s="58">
        <v>90</v>
      </c>
      <c r="H383" s="2"/>
    </row>
    <row r="384" spans="1:8" ht="15.75" x14ac:dyDescent="0.25">
      <c r="A384" s="87"/>
      <c r="B384" s="89"/>
      <c r="C384" s="57" t="s">
        <v>14</v>
      </c>
      <c r="D384" s="27" t="s">
        <v>163</v>
      </c>
      <c r="E384" s="34">
        <v>7</v>
      </c>
      <c r="F384" s="58">
        <v>30</v>
      </c>
      <c r="G384" s="33">
        <v>210</v>
      </c>
      <c r="H384" s="2"/>
    </row>
    <row r="385" spans="1:8" ht="15.75" x14ac:dyDescent="0.25">
      <c r="A385" s="87"/>
      <c r="B385" s="89"/>
      <c r="C385" s="57" t="s">
        <v>664</v>
      </c>
      <c r="D385" s="27" t="s">
        <v>163</v>
      </c>
      <c r="E385" s="34">
        <v>12</v>
      </c>
      <c r="F385" s="58">
        <f>G385/E385</f>
        <v>174.47583333333333</v>
      </c>
      <c r="G385" s="32">
        <f>847.95+699.76+546</f>
        <v>2093.71</v>
      </c>
      <c r="H385" s="2"/>
    </row>
    <row r="386" spans="1:8" ht="15.75" x14ac:dyDescent="0.25">
      <c r="A386" s="87"/>
      <c r="B386" s="89"/>
      <c r="C386" s="57" t="s">
        <v>539</v>
      </c>
      <c r="D386" s="27" t="s">
        <v>7</v>
      </c>
      <c r="E386" s="34">
        <v>10</v>
      </c>
      <c r="F386" s="58">
        <v>682.65</v>
      </c>
      <c r="G386" s="58">
        <v>6826.5</v>
      </c>
      <c r="H386" s="2"/>
    </row>
    <row r="387" spans="1:8" ht="15.75" x14ac:dyDescent="0.25">
      <c r="A387" s="87"/>
      <c r="B387" s="89"/>
      <c r="C387" s="57" t="s">
        <v>65</v>
      </c>
      <c r="D387" s="27" t="s">
        <v>7</v>
      </c>
      <c r="E387" s="34">
        <v>1</v>
      </c>
      <c r="F387" s="58">
        <v>6529.45</v>
      </c>
      <c r="G387" s="58">
        <v>6529.45</v>
      </c>
      <c r="H387" s="2"/>
    </row>
    <row r="388" spans="1:8" ht="15.75" x14ac:dyDescent="0.25">
      <c r="A388" s="87"/>
      <c r="B388" s="89"/>
      <c r="C388" s="57" t="s">
        <v>666</v>
      </c>
      <c r="D388" s="27" t="s">
        <v>7</v>
      </c>
      <c r="E388" s="34">
        <v>8</v>
      </c>
      <c r="F388" s="58">
        <v>164.65</v>
      </c>
      <c r="G388" s="58">
        <v>1317.2</v>
      </c>
      <c r="H388" s="2"/>
    </row>
    <row r="389" spans="1:8" ht="15.75" x14ac:dyDescent="0.25">
      <c r="A389" s="87"/>
      <c r="B389" s="89"/>
      <c r="C389" s="57" t="s">
        <v>668</v>
      </c>
      <c r="D389" s="27" t="s">
        <v>7</v>
      </c>
      <c r="E389" s="34">
        <v>4</v>
      </c>
      <c r="F389" s="58">
        <v>190.92</v>
      </c>
      <c r="G389" s="58">
        <v>763.68</v>
      </c>
      <c r="H389" s="2"/>
    </row>
    <row r="390" spans="1:8" ht="15.75" x14ac:dyDescent="0.25">
      <c r="A390" s="87"/>
      <c r="B390" s="89"/>
      <c r="C390" s="30" t="s">
        <v>669</v>
      </c>
      <c r="D390" s="27" t="s">
        <v>7</v>
      </c>
      <c r="E390" s="4">
        <v>10</v>
      </c>
      <c r="F390" s="32">
        <v>955</v>
      </c>
      <c r="G390" s="32">
        <v>9550</v>
      </c>
      <c r="H390" s="2"/>
    </row>
    <row r="391" spans="1:8" ht="15.75" x14ac:dyDescent="0.25">
      <c r="A391" s="83"/>
      <c r="B391" s="90"/>
      <c r="C391" s="30" t="s">
        <v>667</v>
      </c>
      <c r="D391" s="27" t="s">
        <v>7</v>
      </c>
      <c r="E391" s="4">
        <v>5</v>
      </c>
      <c r="F391" s="32">
        <v>255.67</v>
      </c>
      <c r="G391" s="32">
        <v>1278.3499999999999</v>
      </c>
      <c r="H391" s="2"/>
    </row>
    <row r="392" spans="1:8" ht="25.5" x14ac:dyDescent="0.25">
      <c r="A392" s="40"/>
      <c r="B392" s="98"/>
      <c r="C392" s="8" t="s">
        <v>9</v>
      </c>
      <c r="D392" s="7"/>
      <c r="E392" s="9"/>
      <c r="F392" s="61"/>
      <c r="G392" s="61">
        <f>SUM(G366:H391)</f>
        <v>58992.549999999996</v>
      </c>
      <c r="H392" s="8">
        <f>SUM(H366:H366)</f>
        <v>0</v>
      </c>
    </row>
    <row r="393" spans="1:8" ht="15.75" x14ac:dyDescent="0.25">
      <c r="A393" s="92">
        <v>13</v>
      </c>
      <c r="B393" s="95" t="s">
        <v>35</v>
      </c>
      <c r="C393" s="31" t="s">
        <v>646</v>
      </c>
      <c r="D393" s="27" t="s">
        <v>7</v>
      </c>
      <c r="E393" s="28">
        <v>1</v>
      </c>
      <c r="F393" s="33">
        <v>19900</v>
      </c>
      <c r="G393" s="33">
        <v>19900</v>
      </c>
      <c r="H393" s="5" t="s">
        <v>397</v>
      </c>
    </row>
    <row r="394" spans="1:8" ht="15.75" x14ac:dyDescent="0.25">
      <c r="A394" s="93"/>
      <c r="B394" s="96"/>
      <c r="C394" s="30" t="s">
        <v>347</v>
      </c>
      <c r="D394" s="27" t="s">
        <v>7</v>
      </c>
      <c r="E394" s="4">
        <v>17</v>
      </c>
      <c r="F394" s="32">
        <v>8876.2999999999993</v>
      </c>
      <c r="G394" s="32">
        <v>150897.1</v>
      </c>
      <c r="H394" s="5" t="s">
        <v>397</v>
      </c>
    </row>
    <row r="395" spans="1:8" ht="15.75" x14ac:dyDescent="0.25">
      <c r="A395" s="93"/>
      <c r="B395" s="96"/>
      <c r="C395" s="30" t="s">
        <v>649</v>
      </c>
      <c r="D395" s="27" t="s">
        <v>7</v>
      </c>
      <c r="E395" s="4">
        <v>17</v>
      </c>
      <c r="F395" s="32">
        <v>166.05</v>
      </c>
      <c r="G395" s="32">
        <v>2830.5</v>
      </c>
      <c r="H395" s="5"/>
    </row>
    <row r="396" spans="1:8" ht="15.75" x14ac:dyDescent="0.25">
      <c r="A396" s="93"/>
      <c r="B396" s="96"/>
      <c r="C396" s="30" t="s">
        <v>650</v>
      </c>
      <c r="D396" s="27" t="s">
        <v>7</v>
      </c>
      <c r="E396" s="4">
        <v>17</v>
      </c>
      <c r="F396" s="32">
        <v>83.62</v>
      </c>
      <c r="G396" s="32">
        <v>1421.54</v>
      </c>
      <c r="H396" s="5"/>
    </row>
    <row r="397" spans="1:8" ht="15.75" x14ac:dyDescent="0.25">
      <c r="A397" s="93"/>
      <c r="B397" s="96"/>
      <c r="C397" s="30" t="s">
        <v>651</v>
      </c>
      <c r="D397" s="27" t="s">
        <v>7</v>
      </c>
      <c r="E397" s="4">
        <v>17</v>
      </c>
      <c r="F397" s="32">
        <v>187.96</v>
      </c>
      <c r="G397" s="32">
        <v>3195.32</v>
      </c>
      <c r="H397" s="5"/>
    </row>
    <row r="398" spans="1:8" ht="15.75" x14ac:dyDescent="0.25">
      <c r="A398" s="93"/>
      <c r="B398" s="96"/>
      <c r="C398" s="57" t="s">
        <v>652</v>
      </c>
      <c r="D398" s="27" t="s">
        <v>7</v>
      </c>
      <c r="E398" s="34">
        <v>24</v>
      </c>
      <c r="F398" s="58">
        <v>8.32</v>
      </c>
      <c r="G398" s="58">
        <v>199.68</v>
      </c>
      <c r="H398" s="5"/>
    </row>
    <row r="399" spans="1:8" ht="15.75" x14ac:dyDescent="0.25">
      <c r="A399" s="93"/>
      <c r="B399" s="96"/>
      <c r="C399" s="57" t="s">
        <v>653</v>
      </c>
      <c r="D399" s="27" t="s">
        <v>7</v>
      </c>
      <c r="E399" s="34">
        <v>22</v>
      </c>
      <c r="F399" s="58">
        <v>10</v>
      </c>
      <c r="G399" s="33">
        <v>220</v>
      </c>
      <c r="H399" s="5"/>
    </row>
    <row r="400" spans="1:8" ht="15.75" x14ac:dyDescent="0.25">
      <c r="A400" s="93"/>
      <c r="B400" s="96"/>
      <c r="C400" s="57" t="s">
        <v>654</v>
      </c>
      <c r="D400" s="27" t="s">
        <v>7</v>
      </c>
      <c r="E400" s="34">
        <v>6</v>
      </c>
      <c r="F400" s="58">
        <v>20</v>
      </c>
      <c r="G400" s="33">
        <v>120</v>
      </c>
      <c r="H400" s="5"/>
    </row>
    <row r="401" spans="1:8" ht="15.75" x14ac:dyDescent="0.25">
      <c r="A401" s="93"/>
      <c r="B401" s="96"/>
      <c r="C401" s="57" t="s">
        <v>655</v>
      </c>
      <c r="D401" s="27" t="s">
        <v>7</v>
      </c>
      <c r="E401" s="34">
        <v>4</v>
      </c>
      <c r="F401" s="58">
        <v>30</v>
      </c>
      <c r="G401" s="33">
        <v>120</v>
      </c>
      <c r="H401" s="5"/>
    </row>
    <row r="402" spans="1:8" ht="15.75" x14ac:dyDescent="0.25">
      <c r="A402" s="93"/>
      <c r="B402" s="96"/>
      <c r="C402" s="57" t="s">
        <v>656</v>
      </c>
      <c r="D402" s="27" t="s">
        <v>7</v>
      </c>
      <c r="E402" s="34">
        <v>2</v>
      </c>
      <c r="F402" s="58">
        <v>31</v>
      </c>
      <c r="G402" s="33">
        <v>62</v>
      </c>
      <c r="H402" s="5"/>
    </row>
    <row r="403" spans="1:8" ht="15.75" x14ac:dyDescent="0.25">
      <c r="A403" s="93"/>
      <c r="B403" s="96"/>
      <c r="C403" s="57" t="s">
        <v>657</v>
      </c>
      <c r="D403" s="27" t="s">
        <v>7</v>
      </c>
      <c r="E403" s="34">
        <v>14</v>
      </c>
      <c r="F403" s="58">
        <v>10</v>
      </c>
      <c r="G403" s="33">
        <v>140</v>
      </c>
      <c r="H403" s="5"/>
    </row>
    <row r="404" spans="1:8" ht="15.75" x14ac:dyDescent="0.25">
      <c r="A404" s="93"/>
      <c r="B404" s="96"/>
      <c r="C404" s="57" t="s">
        <v>658</v>
      </c>
      <c r="D404" s="27" t="s">
        <v>7</v>
      </c>
      <c r="E404" s="34">
        <v>3</v>
      </c>
      <c r="F404" s="58">
        <v>30</v>
      </c>
      <c r="G404" s="33">
        <v>90</v>
      </c>
      <c r="H404" s="5"/>
    </row>
    <row r="405" spans="1:8" ht="15.75" x14ac:dyDescent="0.25">
      <c r="A405" s="93"/>
      <c r="B405" s="96"/>
      <c r="C405" s="57" t="s">
        <v>659</v>
      </c>
      <c r="D405" s="27" t="s">
        <v>7</v>
      </c>
      <c r="E405" s="34">
        <v>2</v>
      </c>
      <c r="F405" s="58">
        <v>100</v>
      </c>
      <c r="G405" s="33">
        <v>200</v>
      </c>
      <c r="H405" s="5"/>
    </row>
    <row r="406" spans="1:8" ht="15.75" x14ac:dyDescent="0.25">
      <c r="A406" s="93"/>
      <c r="B406" s="96"/>
      <c r="C406" s="57" t="s">
        <v>636</v>
      </c>
      <c r="D406" s="27" t="s">
        <v>7</v>
      </c>
      <c r="E406" s="34">
        <v>4</v>
      </c>
      <c r="F406" s="58">
        <v>50</v>
      </c>
      <c r="G406" s="33">
        <v>200</v>
      </c>
      <c r="H406" s="5"/>
    </row>
    <row r="407" spans="1:8" ht="15.75" x14ac:dyDescent="0.25">
      <c r="A407" s="93"/>
      <c r="B407" s="96"/>
      <c r="C407" s="57" t="s">
        <v>660</v>
      </c>
      <c r="D407" s="27" t="s">
        <v>7</v>
      </c>
      <c r="E407" s="34">
        <v>14</v>
      </c>
      <c r="F407" s="58">
        <v>15</v>
      </c>
      <c r="G407" s="33">
        <v>210</v>
      </c>
      <c r="H407" s="5"/>
    </row>
    <row r="408" spans="1:8" ht="15.75" x14ac:dyDescent="0.25">
      <c r="A408" s="93"/>
      <c r="B408" s="96"/>
      <c r="C408" s="57" t="s">
        <v>661</v>
      </c>
      <c r="D408" s="27" t="s">
        <v>7</v>
      </c>
      <c r="E408" s="34">
        <v>22</v>
      </c>
      <c r="F408" s="58">
        <v>10</v>
      </c>
      <c r="G408" s="33">
        <v>220</v>
      </c>
      <c r="H408" s="5"/>
    </row>
    <row r="409" spans="1:8" ht="15.75" x14ac:dyDescent="0.25">
      <c r="A409" s="93"/>
      <c r="B409" s="96"/>
      <c r="C409" s="57" t="s">
        <v>16</v>
      </c>
      <c r="D409" s="27" t="s">
        <v>163</v>
      </c>
      <c r="E409" s="34">
        <v>2</v>
      </c>
      <c r="F409" s="58">
        <v>200</v>
      </c>
      <c r="G409" s="33">
        <v>400</v>
      </c>
      <c r="H409" s="5"/>
    </row>
    <row r="410" spans="1:8" ht="15.75" x14ac:dyDescent="0.25">
      <c r="A410" s="93"/>
      <c r="B410" s="96"/>
      <c r="C410" s="57" t="s">
        <v>662</v>
      </c>
      <c r="D410" s="27" t="s">
        <v>7</v>
      </c>
      <c r="E410" s="34">
        <v>8</v>
      </c>
      <c r="F410" s="58">
        <v>20</v>
      </c>
      <c r="G410" s="33">
        <v>160</v>
      </c>
      <c r="H410" s="5"/>
    </row>
    <row r="411" spans="1:8" ht="15.75" x14ac:dyDescent="0.25">
      <c r="A411" s="93"/>
      <c r="B411" s="96"/>
      <c r="C411" s="57" t="s">
        <v>663</v>
      </c>
      <c r="D411" s="27" t="s">
        <v>163</v>
      </c>
      <c r="E411" s="34">
        <v>3</v>
      </c>
      <c r="F411" s="58">
        <v>30</v>
      </c>
      <c r="G411" s="33">
        <v>90</v>
      </c>
      <c r="H411" s="5"/>
    </row>
    <row r="412" spans="1:8" ht="15.75" x14ac:dyDescent="0.25">
      <c r="A412" s="93"/>
      <c r="B412" s="96"/>
      <c r="C412" s="57" t="s">
        <v>14</v>
      </c>
      <c r="D412" s="27" t="s">
        <v>163</v>
      </c>
      <c r="E412" s="34">
        <v>7</v>
      </c>
      <c r="F412" s="58">
        <v>30</v>
      </c>
      <c r="G412" s="33">
        <v>210</v>
      </c>
      <c r="H412" s="5"/>
    </row>
    <row r="413" spans="1:8" ht="15.75" x14ac:dyDescent="0.25">
      <c r="A413" s="93"/>
      <c r="B413" s="96"/>
      <c r="C413" s="57" t="s">
        <v>664</v>
      </c>
      <c r="D413" s="27" t="s">
        <v>163</v>
      </c>
      <c r="E413" s="34">
        <v>12</v>
      </c>
      <c r="F413" s="58">
        <f>G413/E413</f>
        <v>174.47583333333333</v>
      </c>
      <c r="G413" s="33">
        <f>847.95+699.76+546</f>
        <v>2093.71</v>
      </c>
      <c r="H413" s="5"/>
    </row>
    <row r="414" spans="1:8" ht="15.75" x14ac:dyDescent="0.25">
      <c r="A414" s="93"/>
      <c r="B414" s="96"/>
      <c r="C414" s="57" t="s">
        <v>539</v>
      </c>
      <c r="D414" s="27" t="s">
        <v>7</v>
      </c>
      <c r="E414" s="34">
        <v>10</v>
      </c>
      <c r="F414" s="58">
        <v>682.65</v>
      </c>
      <c r="G414" s="58">
        <v>6826.5</v>
      </c>
      <c r="H414" s="5"/>
    </row>
    <row r="415" spans="1:8" ht="15.75" x14ac:dyDescent="0.25">
      <c r="A415" s="93"/>
      <c r="B415" s="96"/>
      <c r="C415" s="57" t="s">
        <v>65</v>
      </c>
      <c r="D415" s="27" t="s">
        <v>7</v>
      </c>
      <c r="E415" s="34">
        <v>1</v>
      </c>
      <c r="F415" s="58">
        <v>12218.99</v>
      </c>
      <c r="G415" s="58">
        <v>12218.99</v>
      </c>
      <c r="H415" s="5"/>
    </row>
    <row r="416" spans="1:8" ht="15.75" x14ac:dyDescent="0.25">
      <c r="A416" s="93"/>
      <c r="B416" s="96"/>
      <c r="C416" s="57" t="s">
        <v>666</v>
      </c>
      <c r="D416" s="27" t="s">
        <v>7</v>
      </c>
      <c r="E416" s="34">
        <v>8</v>
      </c>
      <c r="F416" s="58">
        <v>164.65</v>
      </c>
      <c r="G416" s="58">
        <v>1317.2</v>
      </c>
      <c r="H416" s="5"/>
    </row>
    <row r="417" spans="1:8" ht="15.75" x14ac:dyDescent="0.25">
      <c r="A417" s="93"/>
      <c r="B417" s="96"/>
      <c r="C417" s="57" t="s">
        <v>668</v>
      </c>
      <c r="D417" s="27" t="s">
        <v>7</v>
      </c>
      <c r="E417" s="34">
        <v>4</v>
      </c>
      <c r="F417" s="58">
        <v>190.92</v>
      </c>
      <c r="G417" s="58">
        <v>763.68</v>
      </c>
      <c r="H417" s="5"/>
    </row>
    <row r="418" spans="1:8" ht="15.75" x14ac:dyDescent="0.25">
      <c r="A418" s="93"/>
      <c r="B418" s="96"/>
      <c r="C418" s="30" t="s">
        <v>669</v>
      </c>
      <c r="D418" s="27" t="s">
        <v>7</v>
      </c>
      <c r="E418" s="4">
        <v>10</v>
      </c>
      <c r="F418" s="32">
        <v>955</v>
      </c>
      <c r="G418" s="32">
        <v>9550</v>
      </c>
      <c r="H418" s="5"/>
    </row>
    <row r="419" spans="1:8" ht="15.75" x14ac:dyDescent="0.25">
      <c r="A419" s="94"/>
      <c r="B419" s="97"/>
      <c r="C419" s="30" t="s">
        <v>667</v>
      </c>
      <c r="D419" s="27" t="s">
        <v>7</v>
      </c>
      <c r="E419" s="4">
        <v>5</v>
      </c>
      <c r="F419" s="32">
        <v>255.67</v>
      </c>
      <c r="G419" s="32">
        <v>1278.3499999999999</v>
      </c>
      <c r="H419" s="5"/>
    </row>
    <row r="420" spans="1:8" ht="25.5" x14ac:dyDescent="0.25">
      <c r="A420" s="40"/>
      <c r="B420" s="98"/>
      <c r="C420" s="8" t="s">
        <v>9</v>
      </c>
      <c r="D420" s="7"/>
      <c r="E420" s="9"/>
      <c r="F420" s="61"/>
      <c r="G420" s="61">
        <f>SUM(G393:H419)</f>
        <v>214934.57</v>
      </c>
      <c r="H420" s="8"/>
    </row>
    <row r="421" spans="1:8" x14ac:dyDescent="0.25">
      <c r="A421" s="82">
        <v>14</v>
      </c>
      <c r="B421" s="88" t="s">
        <v>36</v>
      </c>
      <c r="C421" s="21" t="s">
        <v>618</v>
      </c>
      <c r="D421" s="3" t="s">
        <v>7</v>
      </c>
      <c r="E421" s="4">
        <v>1</v>
      </c>
      <c r="F421" s="32">
        <v>91.29</v>
      </c>
      <c r="G421" s="32">
        <v>91.29</v>
      </c>
      <c r="H421" s="5" t="s">
        <v>397</v>
      </c>
    </row>
    <row r="422" spans="1:8" ht="15.75" x14ac:dyDescent="0.25">
      <c r="A422" s="87"/>
      <c r="B422" s="89"/>
      <c r="C422" s="31" t="s">
        <v>647</v>
      </c>
      <c r="D422" s="27" t="s">
        <v>7</v>
      </c>
      <c r="E422" s="28">
        <v>6</v>
      </c>
      <c r="F422" s="33">
        <v>29</v>
      </c>
      <c r="G422" s="33">
        <v>174</v>
      </c>
      <c r="H422" s="5"/>
    </row>
    <row r="423" spans="1:8" ht="15.75" x14ac:dyDescent="0.25">
      <c r="A423" s="87"/>
      <c r="B423" s="89"/>
      <c r="C423" s="30" t="s">
        <v>347</v>
      </c>
      <c r="D423" s="27" t="s">
        <v>7</v>
      </c>
      <c r="E423" s="4">
        <v>5</v>
      </c>
      <c r="F423" s="32">
        <v>8876.2999999999993</v>
      </c>
      <c r="G423" s="32">
        <v>44381.5</v>
      </c>
      <c r="H423" s="5"/>
    </row>
    <row r="424" spans="1:8" ht="15.75" x14ac:dyDescent="0.25">
      <c r="A424" s="87"/>
      <c r="B424" s="89"/>
      <c r="C424" s="30" t="s">
        <v>649</v>
      </c>
      <c r="D424" s="27" t="s">
        <v>7</v>
      </c>
      <c r="E424" s="4">
        <v>5</v>
      </c>
      <c r="F424" s="32">
        <v>166.05</v>
      </c>
      <c r="G424" s="32">
        <v>832.5</v>
      </c>
      <c r="H424" s="5"/>
    </row>
    <row r="425" spans="1:8" ht="15.75" x14ac:dyDescent="0.25">
      <c r="A425" s="87"/>
      <c r="B425" s="89"/>
      <c r="C425" s="30" t="s">
        <v>650</v>
      </c>
      <c r="D425" s="27" t="s">
        <v>7</v>
      </c>
      <c r="E425" s="4">
        <v>5</v>
      </c>
      <c r="F425" s="32">
        <v>83.62</v>
      </c>
      <c r="G425" s="32">
        <v>418.1</v>
      </c>
      <c r="H425" s="5"/>
    </row>
    <row r="426" spans="1:8" ht="15.75" x14ac:dyDescent="0.25">
      <c r="A426" s="87"/>
      <c r="B426" s="89"/>
      <c r="C426" s="30" t="s">
        <v>651</v>
      </c>
      <c r="D426" s="27" t="s">
        <v>7</v>
      </c>
      <c r="E426" s="4">
        <v>5</v>
      </c>
      <c r="F426" s="32">
        <v>187.96</v>
      </c>
      <c r="G426" s="32">
        <v>939.8</v>
      </c>
      <c r="H426" s="5"/>
    </row>
    <row r="427" spans="1:8" ht="15.75" x14ac:dyDescent="0.25">
      <c r="A427" s="87"/>
      <c r="B427" s="89"/>
      <c r="C427" s="57" t="s">
        <v>652</v>
      </c>
      <c r="D427" s="27" t="s">
        <v>7</v>
      </c>
      <c r="E427" s="34">
        <v>36</v>
      </c>
      <c r="F427" s="58">
        <v>8.32</v>
      </c>
      <c r="G427" s="58">
        <v>299.52</v>
      </c>
      <c r="H427" s="5"/>
    </row>
    <row r="428" spans="1:8" ht="15.75" x14ac:dyDescent="0.25">
      <c r="A428" s="87"/>
      <c r="B428" s="89"/>
      <c r="C428" s="57" t="s">
        <v>653</v>
      </c>
      <c r="D428" s="27" t="s">
        <v>7</v>
      </c>
      <c r="E428" s="34">
        <v>24</v>
      </c>
      <c r="F428" s="58">
        <v>10</v>
      </c>
      <c r="G428" s="58">
        <v>240</v>
      </c>
      <c r="H428" s="5"/>
    </row>
    <row r="429" spans="1:8" ht="15.75" x14ac:dyDescent="0.25">
      <c r="A429" s="87"/>
      <c r="B429" s="89"/>
      <c r="C429" s="57" t="s">
        <v>654</v>
      </c>
      <c r="D429" s="27" t="s">
        <v>7</v>
      </c>
      <c r="E429" s="34">
        <v>7</v>
      </c>
      <c r="F429" s="58">
        <v>20</v>
      </c>
      <c r="G429" s="58">
        <v>140</v>
      </c>
      <c r="H429" s="5"/>
    </row>
    <row r="430" spans="1:8" ht="15.75" x14ac:dyDescent="0.25">
      <c r="A430" s="87"/>
      <c r="B430" s="89"/>
      <c r="C430" s="57" t="s">
        <v>655</v>
      </c>
      <c r="D430" s="27" t="s">
        <v>7</v>
      </c>
      <c r="E430" s="34">
        <v>4</v>
      </c>
      <c r="F430" s="58">
        <v>30</v>
      </c>
      <c r="G430" s="58">
        <v>120</v>
      </c>
      <c r="H430" s="5"/>
    </row>
    <row r="431" spans="1:8" ht="15.75" x14ac:dyDescent="0.25">
      <c r="A431" s="87"/>
      <c r="B431" s="89"/>
      <c r="C431" s="57" t="s">
        <v>656</v>
      </c>
      <c r="D431" s="27" t="s">
        <v>7</v>
      </c>
      <c r="E431" s="34">
        <v>2</v>
      </c>
      <c r="F431" s="58">
        <v>31</v>
      </c>
      <c r="G431" s="58">
        <v>62</v>
      </c>
      <c r="H431" s="5"/>
    </row>
    <row r="432" spans="1:8" ht="15.75" x14ac:dyDescent="0.25">
      <c r="A432" s="87"/>
      <c r="B432" s="89"/>
      <c r="C432" s="57" t="s">
        <v>657</v>
      </c>
      <c r="D432" s="27" t="s">
        <v>7</v>
      </c>
      <c r="E432" s="34">
        <v>14</v>
      </c>
      <c r="F432" s="58">
        <v>10</v>
      </c>
      <c r="G432" s="58">
        <v>140</v>
      </c>
      <c r="H432" s="5"/>
    </row>
    <row r="433" spans="1:8" ht="15.75" x14ac:dyDescent="0.25">
      <c r="A433" s="87"/>
      <c r="B433" s="89"/>
      <c r="C433" s="57" t="s">
        <v>658</v>
      </c>
      <c r="D433" s="27" t="s">
        <v>7</v>
      </c>
      <c r="E433" s="34">
        <v>3</v>
      </c>
      <c r="F433" s="58">
        <v>30</v>
      </c>
      <c r="G433" s="58">
        <v>90</v>
      </c>
      <c r="H433" s="5"/>
    </row>
    <row r="434" spans="1:8" ht="15.75" x14ac:dyDescent="0.25">
      <c r="A434" s="87"/>
      <c r="B434" s="89"/>
      <c r="C434" s="57" t="s">
        <v>659</v>
      </c>
      <c r="D434" s="27" t="s">
        <v>7</v>
      </c>
      <c r="E434" s="34">
        <v>2</v>
      </c>
      <c r="F434" s="58">
        <v>100</v>
      </c>
      <c r="G434" s="58">
        <v>200</v>
      </c>
      <c r="H434" s="5"/>
    </row>
    <row r="435" spans="1:8" ht="15.75" x14ac:dyDescent="0.25">
      <c r="A435" s="87"/>
      <c r="B435" s="89"/>
      <c r="C435" s="57" t="s">
        <v>636</v>
      </c>
      <c r="D435" s="27" t="s">
        <v>7</v>
      </c>
      <c r="E435" s="34">
        <v>4</v>
      </c>
      <c r="F435" s="58">
        <v>50</v>
      </c>
      <c r="G435" s="58">
        <v>200</v>
      </c>
      <c r="H435" s="5"/>
    </row>
    <row r="436" spans="1:8" ht="15.75" x14ac:dyDescent="0.25">
      <c r="A436" s="87"/>
      <c r="B436" s="89"/>
      <c r="C436" s="57" t="s">
        <v>660</v>
      </c>
      <c r="D436" s="27" t="s">
        <v>7</v>
      </c>
      <c r="E436" s="34">
        <v>14</v>
      </c>
      <c r="F436" s="58">
        <v>15</v>
      </c>
      <c r="G436" s="58">
        <v>210</v>
      </c>
      <c r="H436" s="5"/>
    </row>
    <row r="437" spans="1:8" ht="15.75" x14ac:dyDescent="0.25">
      <c r="A437" s="87"/>
      <c r="B437" s="89"/>
      <c r="C437" s="57" t="s">
        <v>661</v>
      </c>
      <c r="D437" s="27" t="s">
        <v>7</v>
      </c>
      <c r="E437" s="34">
        <v>22</v>
      </c>
      <c r="F437" s="58">
        <v>10</v>
      </c>
      <c r="G437" s="58">
        <v>220</v>
      </c>
      <c r="H437" s="5"/>
    </row>
    <row r="438" spans="1:8" ht="15.75" x14ac:dyDescent="0.25">
      <c r="A438" s="87"/>
      <c r="B438" s="89"/>
      <c r="C438" s="57" t="s">
        <v>16</v>
      </c>
      <c r="D438" s="27" t="s">
        <v>163</v>
      </c>
      <c r="E438" s="34">
        <v>2</v>
      </c>
      <c r="F438" s="58">
        <v>200</v>
      </c>
      <c r="G438" s="58">
        <v>400</v>
      </c>
      <c r="H438" s="5"/>
    </row>
    <row r="439" spans="1:8" ht="15.75" x14ac:dyDescent="0.25">
      <c r="A439" s="87"/>
      <c r="B439" s="89"/>
      <c r="C439" s="57" t="s">
        <v>662</v>
      </c>
      <c r="D439" s="27" t="s">
        <v>7</v>
      </c>
      <c r="E439" s="34">
        <v>8</v>
      </c>
      <c r="F439" s="58">
        <v>20</v>
      </c>
      <c r="G439" s="58">
        <v>160</v>
      </c>
      <c r="H439" s="5"/>
    </row>
    <row r="440" spans="1:8" ht="15.75" x14ac:dyDescent="0.25">
      <c r="A440" s="87"/>
      <c r="B440" s="89"/>
      <c r="C440" s="57" t="s">
        <v>663</v>
      </c>
      <c r="D440" s="27" t="s">
        <v>163</v>
      </c>
      <c r="E440" s="34">
        <v>3</v>
      </c>
      <c r="F440" s="58">
        <v>30</v>
      </c>
      <c r="G440" s="58">
        <v>90</v>
      </c>
      <c r="H440" s="5"/>
    </row>
    <row r="441" spans="1:8" ht="15.75" x14ac:dyDescent="0.25">
      <c r="A441" s="87"/>
      <c r="B441" s="89"/>
      <c r="C441" s="57" t="s">
        <v>14</v>
      </c>
      <c r="D441" s="27" t="s">
        <v>163</v>
      </c>
      <c r="E441" s="34">
        <v>7</v>
      </c>
      <c r="F441" s="58">
        <v>30</v>
      </c>
      <c r="G441" s="58">
        <v>210</v>
      </c>
      <c r="H441" s="5"/>
    </row>
    <row r="442" spans="1:8" ht="15.75" x14ac:dyDescent="0.25">
      <c r="A442" s="87"/>
      <c r="B442" s="89"/>
      <c r="C442" s="57" t="s">
        <v>664</v>
      </c>
      <c r="D442" s="27" t="s">
        <v>163</v>
      </c>
      <c r="E442" s="34">
        <v>12</v>
      </c>
      <c r="F442" s="58">
        <f>G442/E442</f>
        <v>174.47583333333333</v>
      </c>
      <c r="G442" s="58">
        <f>847.95+699.76+546</f>
        <v>2093.71</v>
      </c>
      <c r="H442" s="5"/>
    </row>
    <row r="443" spans="1:8" ht="15.75" x14ac:dyDescent="0.25">
      <c r="A443" s="87"/>
      <c r="B443" s="89"/>
      <c r="C443" s="57" t="s">
        <v>539</v>
      </c>
      <c r="D443" s="27" t="s">
        <v>7</v>
      </c>
      <c r="E443" s="34">
        <v>10</v>
      </c>
      <c r="F443" s="58">
        <v>682.65</v>
      </c>
      <c r="G443" s="58">
        <v>6826.5</v>
      </c>
      <c r="H443" s="5"/>
    </row>
    <row r="444" spans="1:8" ht="15.75" x14ac:dyDescent="0.25">
      <c r="A444" s="87"/>
      <c r="B444" s="89"/>
      <c r="C444" s="57" t="s">
        <v>65</v>
      </c>
      <c r="D444" s="27" t="s">
        <v>7</v>
      </c>
      <c r="E444" s="34">
        <v>1</v>
      </c>
      <c r="F444" s="58">
        <v>6529.45</v>
      </c>
      <c r="G444" s="58">
        <v>6529.45</v>
      </c>
      <c r="H444" s="5"/>
    </row>
    <row r="445" spans="1:8" ht="15.75" x14ac:dyDescent="0.25">
      <c r="A445" s="87"/>
      <c r="B445" s="89"/>
      <c r="C445" s="57" t="s">
        <v>666</v>
      </c>
      <c r="D445" s="27" t="s">
        <v>7</v>
      </c>
      <c r="E445" s="34">
        <v>8</v>
      </c>
      <c r="F445" s="58">
        <v>164.65</v>
      </c>
      <c r="G445" s="58">
        <v>1317.2</v>
      </c>
      <c r="H445" s="5"/>
    </row>
    <row r="446" spans="1:8" ht="15.75" x14ac:dyDescent="0.25">
      <c r="A446" s="87"/>
      <c r="B446" s="89"/>
      <c r="C446" s="57" t="s">
        <v>668</v>
      </c>
      <c r="D446" s="27" t="s">
        <v>7</v>
      </c>
      <c r="E446" s="34">
        <v>4</v>
      </c>
      <c r="F446" s="58">
        <v>190.92</v>
      </c>
      <c r="G446" s="58">
        <v>763.68</v>
      </c>
      <c r="H446" s="5"/>
    </row>
    <row r="447" spans="1:8" ht="15.75" x14ac:dyDescent="0.25">
      <c r="A447" s="87"/>
      <c r="B447" s="89"/>
      <c r="C447" s="30" t="s">
        <v>669</v>
      </c>
      <c r="D447" s="27" t="s">
        <v>7</v>
      </c>
      <c r="E447" s="4">
        <v>10</v>
      </c>
      <c r="F447" s="32">
        <v>955</v>
      </c>
      <c r="G447" s="32">
        <v>9550</v>
      </c>
      <c r="H447" s="5"/>
    </row>
    <row r="448" spans="1:8" ht="15.75" x14ac:dyDescent="0.25">
      <c r="A448" s="83"/>
      <c r="B448" s="90"/>
      <c r="C448" s="30" t="s">
        <v>667</v>
      </c>
      <c r="D448" s="27" t="s">
        <v>7</v>
      </c>
      <c r="E448" s="4">
        <v>5</v>
      </c>
      <c r="F448" s="32">
        <v>255.67</v>
      </c>
      <c r="G448" s="32">
        <v>1278.3499999999999</v>
      </c>
      <c r="H448" s="5"/>
    </row>
    <row r="449" spans="1:8" ht="25.5" x14ac:dyDescent="0.25">
      <c r="A449" s="40"/>
      <c r="B449" s="98"/>
      <c r="C449" s="8" t="s">
        <v>9</v>
      </c>
      <c r="D449" s="7"/>
      <c r="E449" s="9"/>
      <c r="F449" s="61"/>
      <c r="G449" s="61">
        <f>SUM(G421:G448)</f>
        <v>77977.599999999991</v>
      </c>
      <c r="H449" s="8">
        <f>SUM(H421:H421)</f>
        <v>0</v>
      </c>
    </row>
    <row r="450" spans="1:8" ht="15.75" x14ac:dyDescent="0.25">
      <c r="A450" s="92">
        <v>15</v>
      </c>
      <c r="B450" s="95" t="s">
        <v>37</v>
      </c>
      <c r="C450" s="30" t="s">
        <v>347</v>
      </c>
      <c r="D450" s="27" t="s">
        <v>7</v>
      </c>
      <c r="E450" s="4">
        <v>12</v>
      </c>
      <c r="F450" s="32">
        <v>8876.2999999999993</v>
      </c>
      <c r="G450" s="32">
        <v>106515.6</v>
      </c>
      <c r="H450" s="5" t="s">
        <v>397</v>
      </c>
    </row>
    <row r="451" spans="1:8" ht="15.75" x14ac:dyDescent="0.25">
      <c r="A451" s="93"/>
      <c r="B451" s="96"/>
      <c r="C451" s="30" t="s">
        <v>649</v>
      </c>
      <c r="D451" s="27" t="s">
        <v>7</v>
      </c>
      <c r="E451" s="4">
        <v>12</v>
      </c>
      <c r="F451" s="32">
        <v>166.05</v>
      </c>
      <c r="G451" s="32">
        <v>1998</v>
      </c>
      <c r="H451" s="5"/>
    </row>
    <row r="452" spans="1:8" ht="15.75" x14ac:dyDescent="0.25">
      <c r="A452" s="93"/>
      <c r="B452" s="96"/>
      <c r="C452" s="30" t="s">
        <v>650</v>
      </c>
      <c r="D452" s="27" t="s">
        <v>7</v>
      </c>
      <c r="E452" s="4">
        <v>12</v>
      </c>
      <c r="F452" s="32">
        <v>83.62</v>
      </c>
      <c r="G452" s="32">
        <v>1003.44</v>
      </c>
      <c r="H452" s="5"/>
    </row>
    <row r="453" spans="1:8" ht="15.75" x14ac:dyDescent="0.25">
      <c r="A453" s="93"/>
      <c r="B453" s="96"/>
      <c r="C453" s="30" t="s">
        <v>651</v>
      </c>
      <c r="D453" s="27" t="s">
        <v>7</v>
      </c>
      <c r="E453" s="4">
        <v>12</v>
      </c>
      <c r="F453" s="32">
        <v>187.96</v>
      </c>
      <c r="G453" s="32">
        <v>2255.52</v>
      </c>
      <c r="H453" s="5"/>
    </row>
    <row r="454" spans="1:8" ht="15.75" x14ac:dyDescent="0.25">
      <c r="A454" s="93"/>
      <c r="B454" s="96"/>
      <c r="C454" s="57" t="s">
        <v>652</v>
      </c>
      <c r="D454" s="27" t="s">
        <v>7</v>
      </c>
      <c r="E454" s="34">
        <v>36</v>
      </c>
      <c r="F454" s="58">
        <v>8.32</v>
      </c>
      <c r="G454" s="58">
        <v>299.52</v>
      </c>
      <c r="H454" s="5"/>
    </row>
    <row r="455" spans="1:8" ht="15.75" x14ac:dyDescent="0.25">
      <c r="A455" s="93"/>
      <c r="B455" s="96"/>
      <c r="C455" s="57" t="s">
        <v>653</v>
      </c>
      <c r="D455" s="27" t="s">
        <v>7</v>
      </c>
      <c r="E455" s="34">
        <v>22</v>
      </c>
      <c r="F455" s="58">
        <v>10</v>
      </c>
      <c r="G455" s="33">
        <v>240</v>
      </c>
      <c r="H455" s="5"/>
    </row>
    <row r="456" spans="1:8" ht="15.75" x14ac:dyDescent="0.25">
      <c r="A456" s="93"/>
      <c r="B456" s="96"/>
      <c r="C456" s="57" t="s">
        <v>654</v>
      </c>
      <c r="D456" s="27" t="s">
        <v>7</v>
      </c>
      <c r="E456" s="34">
        <v>6</v>
      </c>
      <c r="F456" s="58">
        <v>20</v>
      </c>
      <c r="G456" s="33">
        <v>140</v>
      </c>
      <c r="H456" s="5"/>
    </row>
    <row r="457" spans="1:8" ht="15.75" x14ac:dyDescent="0.25">
      <c r="A457" s="93"/>
      <c r="B457" s="96"/>
      <c r="C457" s="57" t="s">
        <v>655</v>
      </c>
      <c r="D457" s="27" t="s">
        <v>7</v>
      </c>
      <c r="E457" s="34">
        <v>4</v>
      </c>
      <c r="F457" s="58">
        <v>30</v>
      </c>
      <c r="G457" s="33">
        <v>120</v>
      </c>
      <c r="H457" s="5"/>
    </row>
    <row r="458" spans="1:8" ht="15.75" x14ac:dyDescent="0.25">
      <c r="A458" s="93"/>
      <c r="B458" s="96"/>
      <c r="C458" s="57" t="s">
        <v>656</v>
      </c>
      <c r="D458" s="27" t="s">
        <v>7</v>
      </c>
      <c r="E458" s="34">
        <v>1</v>
      </c>
      <c r="F458" s="58">
        <v>31</v>
      </c>
      <c r="G458" s="33">
        <v>62</v>
      </c>
      <c r="H458" s="5"/>
    </row>
    <row r="459" spans="1:8" ht="15.75" x14ac:dyDescent="0.25">
      <c r="A459" s="93"/>
      <c r="B459" s="96"/>
      <c r="C459" s="57" t="s">
        <v>657</v>
      </c>
      <c r="D459" s="27" t="s">
        <v>7</v>
      </c>
      <c r="E459" s="34">
        <v>12</v>
      </c>
      <c r="F459" s="58">
        <v>10</v>
      </c>
      <c r="G459" s="33">
        <v>120</v>
      </c>
      <c r="H459" s="5"/>
    </row>
    <row r="460" spans="1:8" ht="15.75" x14ac:dyDescent="0.25">
      <c r="A460" s="93"/>
      <c r="B460" s="96"/>
      <c r="C460" s="57" t="s">
        <v>658</v>
      </c>
      <c r="D460" s="27" t="s">
        <v>7</v>
      </c>
      <c r="E460" s="34">
        <v>2</v>
      </c>
      <c r="F460" s="58">
        <v>30</v>
      </c>
      <c r="G460" s="33">
        <v>90</v>
      </c>
      <c r="H460" s="5"/>
    </row>
    <row r="461" spans="1:8" ht="15.75" x14ac:dyDescent="0.25">
      <c r="A461" s="93"/>
      <c r="B461" s="96"/>
      <c r="C461" s="57" t="s">
        <v>659</v>
      </c>
      <c r="D461" s="27" t="s">
        <v>7</v>
      </c>
      <c r="E461" s="34">
        <v>1</v>
      </c>
      <c r="F461" s="58">
        <v>100</v>
      </c>
      <c r="G461" s="33">
        <v>200</v>
      </c>
      <c r="H461" s="5"/>
    </row>
    <row r="462" spans="1:8" ht="15.75" x14ac:dyDescent="0.25">
      <c r="A462" s="93"/>
      <c r="B462" s="96"/>
      <c r="C462" s="57" t="s">
        <v>636</v>
      </c>
      <c r="D462" s="27" t="s">
        <v>7</v>
      </c>
      <c r="E462" s="34">
        <v>3</v>
      </c>
      <c r="F462" s="58">
        <v>50</v>
      </c>
      <c r="G462" s="33">
        <v>200</v>
      </c>
      <c r="H462" s="5"/>
    </row>
    <row r="463" spans="1:8" ht="15.75" x14ac:dyDescent="0.25">
      <c r="A463" s="93"/>
      <c r="B463" s="96"/>
      <c r="C463" s="57" t="s">
        <v>660</v>
      </c>
      <c r="D463" s="27" t="s">
        <v>7</v>
      </c>
      <c r="E463" s="34">
        <v>12</v>
      </c>
      <c r="F463" s="58">
        <v>15</v>
      </c>
      <c r="G463" s="33">
        <v>210</v>
      </c>
      <c r="H463" s="5"/>
    </row>
    <row r="464" spans="1:8" ht="15.75" x14ac:dyDescent="0.25">
      <c r="A464" s="93"/>
      <c r="B464" s="96"/>
      <c r="C464" s="57" t="s">
        <v>661</v>
      </c>
      <c r="D464" s="27" t="s">
        <v>7</v>
      </c>
      <c r="E464" s="34">
        <v>22</v>
      </c>
      <c r="F464" s="58">
        <v>10</v>
      </c>
      <c r="G464" s="33">
        <v>220</v>
      </c>
      <c r="H464" s="5"/>
    </row>
    <row r="465" spans="1:8" ht="15.75" x14ac:dyDescent="0.25">
      <c r="A465" s="93"/>
      <c r="B465" s="96"/>
      <c r="C465" s="57" t="s">
        <v>16</v>
      </c>
      <c r="D465" s="27" t="s">
        <v>163</v>
      </c>
      <c r="E465" s="34">
        <v>1</v>
      </c>
      <c r="F465" s="58">
        <v>200</v>
      </c>
      <c r="G465" s="33">
        <v>400</v>
      </c>
      <c r="H465" s="5"/>
    </row>
    <row r="466" spans="1:8" ht="15.75" x14ac:dyDescent="0.25">
      <c r="A466" s="93"/>
      <c r="B466" s="96"/>
      <c r="C466" s="57" t="s">
        <v>662</v>
      </c>
      <c r="D466" s="27" t="s">
        <v>7</v>
      </c>
      <c r="E466" s="34">
        <v>7</v>
      </c>
      <c r="F466" s="58">
        <v>20</v>
      </c>
      <c r="G466" s="33">
        <v>160</v>
      </c>
      <c r="H466" s="5"/>
    </row>
    <row r="467" spans="1:8" ht="15.75" x14ac:dyDescent="0.25">
      <c r="A467" s="93"/>
      <c r="B467" s="96"/>
      <c r="C467" s="57" t="s">
        <v>663</v>
      </c>
      <c r="D467" s="27" t="s">
        <v>163</v>
      </c>
      <c r="E467" s="34">
        <v>2</v>
      </c>
      <c r="F467" s="58">
        <v>30</v>
      </c>
      <c r="G467" s="33">
        <v>90</v>
      </c>
      <c r="H467" s="5"/>
    </row>
    <row r="468" spans="1:8" ht="15.75" x14ac:dyDescent="0.25">
      <c r="A468" s="93"/>
      <c r="B468" s="96"/>
      <c r="C468" s="57" t="s">
        <v>14</v>
      </c>
      <c r="D468" s="27" t="s">
        <v>163</v>
      </c>
      <c r="E468" s="34">
        <v>7</v>
      </c>
      <c r="F468" s="58">
        <v>30</v>
      </c>
      <c r="G468" s="33">
        <v>210</v>
      </c>
      <c r="H468" s="5"/>
    </row>
    <row r="469" spans="1:8" ht="15.75" x14ac:dyDescent="0.25">
      <c r="A469" s="93"/>
      <c r="B469" s="96"/>
      <c r="C469" s="57" t="s">
        <v>664</v>
      </c>
      <c r="D469" s="27" t="s">
        <v>163</v>
      </c>
      <c r="E469" s="34">
        <v>10</v>
      </c>
      <c r="F469" s="58">
        <f>G469/E469</f>
        <v>209.37100000000001</v>
      </c>
      <c r="G469" s="33">
        <f>847.95+699.76+546</f>
        <v>2093.71</v>
      </c>
      <c r="H469" s="5"/>
    </row>
    <row r="470" spans="1:8" ht="15.75" x14ac:dyDescent="0.25">
      <c r="A470" s="93"/>
      <c r="B470" s="96"/>
      <c r="C470" s="57" t="s">
        <v>539</v>
      </c>
      <c r="D470" s="27" t="s">
        <v>7</v>
      </c>
      <c r="E470" s="34">
        <v>10</v>
      </c>
      <c r="F470" s="58">
        <v>682.65</v>
      </c>
      <c r="G470" s="58">
        <v>6826.5</v>
      </c>
      <c r="H470" s="5"/>
    </row>
    <row r="471" spans="1:8" ht="15.75" x14ac:dyDescent="0.25">
      <c r="A471" s="93"/>
      <c r="B471" s="96"/>
      <c r="C471" s="57" t="s">
        <v>65</v>
      </c>
      <c r="D471" s="27" t="s">
        <v>7</v>
      </c>
      <c r="E471" s="34">
        <v>1</v>
      </c>
      <c r="F471" s="58">
        <v>6529.45</v>
      </c>
      <c r="G471" s="58">
        <v>6529.45</v>
      </c>
      <c r="H471" s="5"/>
    </row>
    <row r="472" spans="1:8" ht="15.75" x14ac:dyDescent="0.25">
      <c r="A472" s="93"/>
      <c r="B472" s="96"/>
      <c r="C472" s="57" t="s">
        <v>666</v>
      </c>
      <c r="D472" s="27" t="s">
        <v>7</v>
      </c>
      <c r="E472" s="34">
        <v>8</v>
      </c>
      <c r="F472" s="58">
        <v>164.65</v>
      </c>
      <c r="G472" s="58">
        <v>1317.2</v>
      </c>
      <c r="H472" s="5"/>
    </row>
    <row r="473" spans="1:8" ht="15.75" x14ac:dyDescent="0.25">
      <c r="A473" s="93"/>
      <c r="B473" s="96"/>
      <c r="C473" s="57" t="s">
        <v>668</v>
      </c>
      <c r="D473" s="27" t="s">
        <v>7</v>
      </c>
      <c r="E473" s="34">
        <v>4</v>
      </c>
      <c r="F473" s="58">
        <v>190.92</v>
      </c>
      <c r="G473" s="58">
        <v>763.68</v>
      </c>
      <c r="H473" s="5"/>
    </row>
    <row r="474" spans="1:8" ht="15.75" x14ac:dyDescent="0.25">
      <c r="A474" s="93"/>
      <c r="B474" s="96"/>
      <c r="C474" s="30" t="s">
        <v>669</v>
      </c>
      <c r="D474" s="27" t="s">
        <v>7</v>
      </c>
      <c r="E474" s="4">
        <v>8</v>
      </c>
      <c r="F474" s="32">
        <v>955</v>
      </c>
      <c r="G474" s="32">
        <v>7640</v>
      </c>
      <c r="H474" s="5"/>
    </row>
    <row r="475" spans="1:8" ht="15.75" x14ac:dyDescent="0.25">
      <c r="A475" s="93"/>
      <c r="B475" s="96"/>
      <c r="C475" s="30" t="s">
        <v>667</v>
      </c>
      <c r="D475" s="27" t="s">
        <v>7</v>
      </c>
      <c r="E475" s="4">
        <v>5</v>
      </c>
      <c r="F475" s="32">
        <v>255.67</v>
      </c>
      <c r="G475" s="32">
        <v>1278.3499999999999</v>
      </c>
      <c r="H475" s="5"/>
    </row>
    <row r="476" spans="1:8" x14ac:dyDescent="0.25">
      <c r="A476" s="94"/>
      <c r="B476" s="97"/>
      <c r="C476" s="21" t="s">
        <v>670</v>
      </c>
      <c r="D476" s="3" t="s">
        <v>7</v>
      </c>
      <c r="E476" s="4">
        <v>1</v>
      </c>
      <c r="F476" s="32">
        <v>4950</v>
      </c>
      <c r="G476" s="32">
        <v>4950</v>
      </c>
      <c r="H476" s="5"/>
    </row>
    <row r="477" spans="1:8" ht="25.5" x14ac:dyDescent="0.25">
      <c r="A477" s="40"/>
      <c r="B477" s="98"/>
      <c r="C477" s="8" t="s">
        <v>9</v>
      </c>
      <c r="D477" s="7"/>
      <c r="E477" s="9"/>
      <c r="F477" s="61"/>
      <c r="G477" s="61">
        <f>SUM(G450:G476)</f>
        <v>145932.97000000003</v>
      </c>
      <c r="H477" s="8">
        <f>SUM(H450:H450)</f>
        <v>0</v>
      </c>
    </row>
    <row r="478" spans="1:8" ht="15.75" x14ac:dyDescent="0.25">
      <c r="A478" s="82">
        <v>16</v>
      </c>
      <c r="B478" s="88" t="s">
        <v>38</v>
      </c>
      <c r="C478" s="30" t="s">
        <v>347</v>
      </c>
      <c r="D478" s="27" t="s">
        <v>7</v>
      </c>
      <c r="E478" s="4">
        <v>1</v>
      </c>
      <c r="F478" s="32">
        <v>8876.2999999999993</v>
      </c>
      <c r="G478" s="32">
        <v>8876.2999999999993</v>
      </c>
      <c r="H478" s="5" t="s">
        <v>397</v>
      </c>
    </row>
    <row r="479" spans="1:8" ht="15.75" x14ac:dyDescent="0.25">
      <c r="A479" s="87"/>
      <c r="B479" s="89"/>
      <c r="C479" s="30" t="s">
        <v>649</v>
      </c>
      <c r="D479" s="27" t="s">
        <v>7</v>
      </c>
      <c r="E479" s="4">
        <v>1</v>
      </c>
      <c r="F479" s="32">
        <v>166.05</v>
      </c>
      <c r="G479" s="32">
        <v>166.5</v>
      </c>
      <c r="H479" s="5" t="s">
        <v>398</v>
      </c>
    </row>
    <row r="480" spans="1:8" ht="15.75" x14ac:dyDescent="0.25">
      <c r="A480" s="87"/>
      <c r="B480" s="89"/>
      <c r="C480" s="30" t="s">
        <v>650</v>
      </c>
      <c r="D480" s="27" t="s">
        <v>7</v>
      </c>
      <c r="E480" s="4">
        <v>1</v>
      </c>
      <c r="F480" s="32">
        <v>83.62</v>
      </c>
      <c r="G480" s="32">
        <v>83.62</v>
      </c>
      <c r="H480" s="5" t="s">
        <v>398</v>
      </c>
    </row>
    <row r="481" spans="1:8" ht="15.75" x14ac:dyDescent="0.25">
      <c r="A481" s="87"/>
      <c r="B481" s="89"/>
      <c r="C481" s="30" t="s">
        <v>651</v>
      </c>
      <c r="D481" s="27" t="s">
        <v>7</v>
      </c>
      <c r="E481" s="4">
        <v>1</v>
      </c>
      <c r="F481" s="32">
        <v>187.96</v>
      </c>
      <c r="G481" s="32">
        <v>187.96</v>
      </c>
      <c r="H481" s="5"/>
    </row>
    <row r="482" spans="1:8" ht="15.75" x14ac:dyDescent="0.25">
      <c r="A482" s="87"/>
      <c r="B482" s="89"/>
      <c r="C482" s="57" t="s">
        <v>652</v>
      </c>
      <c r="D482" s="27" t="s">
        <v>7</v>
      </c>
      <c r="E482" s="34">
        <v>12</v>
      </c>
      <c r="F482" s="58">
        <v>8.32</v>
      </c>
      <c r="G482" s="58">
        <v>99.84</v>
      </c>
      <c r="H482" s="5"/>
    </row>
    <row r="483" spans="1:8" ht="15.75" x14ac:dyDescent="0.25">
      <c r="A483" s="87"/>
      <c r="B483" s="89"/>
      <c r="C483" s="57" t="s">
        <v>653</v>
      </c>
      <c r="D483" s="27" t="s">
        <v>7</v>
      </c>
      <c r="E483" s="34">
        <v>22</v>
      </c>
      <c r="F483" s="58">
        <v>10</v>
      </c>
      <c r="G483" s="58">
        <v>220</v>
      </c>
      <c r="H483" s="5"/>
    </row>
    <row r="484" spans="1:8" ht="15.75" x14ac:dyDescent="0.25">
      <c r="A484" s="87"/>
      <c r="B484" s="89"/>
      <c r="C484" s="57" t="s">
        <v>654</v>
      </c>
      <c r="D484" s="27" t="s">
        <v>7</v>
      </c>
      <c r="E484" s="34">
        <v>7</v>
      </c>
      <c r="F484" s="58">
        <v>20</v>
      </c>
      <c r="G484" s="58">
        <v>140</v>
      </c>
      <c r="H484" s="5"/>
    </row>
    <row r="485" spans="1:8" ht="15.75" x14ac:dyDescent="0.25">
      <c r="A485" s="87"/>
      <c r="B485" s="89"/>
      <c r="C485" s="57" t="s">
        <v>655</v>
      </c>
      <c r="D485" s="27" t="s">
        <v>7</v>
      </c>
      <c r="E485" s="34">
        <v>4</v>
      </c>
      <c r="F485" s="58">
        <v>30</v>
      </c>
      <c r="G485" s="58">
        <v>120</v>
      </c>
      <c r="H485" s="5"/>
    </row>
    <row r="486" spans="1:8" ht="15.75" x14ac:dyDescent="0.25">
      <c r="A486" s="87"/>
      <c r="B486" s="89"/>
      <c r="C486" s="57" t="s">
        <v>656</v>
      </c>
      <c r="D486" s="27" t="s">
        <v>7</v>
      </c>
      <c r="E486" s="34">
        <v>1</v>
      </c>
      <c r="F486" s="58">
        <v>31</v>
      </c>
      <c r="G486" s="58">
        <v>31</v>
      </c>
      <c r="H486" s="5"/>
    </row>
    <row r="487" spans="1:8" ht="15.75" x14ac:dyDescent="0.25">
      <c r="A487" s="87"/>
      <c r="B487" s="89"/>
      <c r="C487" s="57" t="s">
        <v>657</v>
      </c>
      <c r="D487" s="27" t="s">
        <v>7</v>
      </c>
      <c r="E487" s="34">
        <v>12</v>
      </c>
      <c r="F487" s="58">
        <v>10</v>
      </c>
      <c r="G487" s="58">
        <v>120</v>
      </c>
      <c r="H487" s="5"/>
    </row>
    <row r="488" spans="1:8" ht="15.75" x14ac:dyDescent="0.25">
      <c r="A488" s="87"/>
      <c r="B488" s="89"/>
      <c r="C488" s="57" t="s">
        <v>658</v>
      </c>
      <c r="D488" s="27" t="s">
        <v>7</v>
      </c>
      <c r="E488" s="34">
        <v>2</v>
      </c>
      <c r="F488" s="58">
        <v>30</v>
      </c>
      <c r="G488" s="58">
        <v>60</v>
      </c>
      <c r="H488" s="5"/>
    </row>
    <row r="489" spans="1:8" ht="15.75" x14ac:dyDescent="0.25">
      <c r="A489" s="87"/>
      <c r="B489" s="89"/>
      <c r="C489" s="57" t="s">
        <v>659</v>
      </c>
      <c r="D489" s="27" t="s">
        <v>7</v>
      </c>
      <c r="E489" s="34">
        <v>1</v>
      </c>
      <c r="F489" s="58">
        <v>100</v>
      </c>
      <c r="G489" s="58">
        <v>100</v>
      </c>
      <c r="H489" s="5"/>
    </row>
    <row r="490" spans="1:8" ht="15.75" x14ac:dyDescent="0.25">
      <c r="A490" s="87"/>
      <c r="B490" s="89"/>
      <c r="C490" s="57" t="s">
        <v>636</v>
      </c>
      <c r="D490" s="27" t="s">
        <v>7</v>
      </c>
      <c r="E490" s="34">
        <v>4</v>
      </c>
      <c r="F490" s="58">
        <v>50</v>
      </c>
      <c r="G490" s="58">
        <v>200</v>
      </c>
      <c r="H490" s="5"/>
    </row>
    <row r="491" spans="1:8" ht="15.75" x14ac:dyDescent="0.25">
      <c r="A491" s="87"/>
      <c r="B491" s="89"/>
      <c r="C491" s="57" t="s">
        <v>660</v>
      </c>
      <c r="D491" s="27" t="s">
        <v>7</v>
      </c>
      <c r="E491" s="34">
        <v>12</v>
      </c>
      <c r="F491" s="58">
        <v>15</v>
      </c>
      <c r="G491" s="58">
        <v>180</v>
      </c>
      <c r="H491" s="5"/>
    </row>
    <row r="492" spans="1:8" ht="15.75" x14ac:dyDescent="0.25">
      <c r="A492" s="87"/>
      <c r="B492" s="89"/>
      <c r="C492" s="57" t="s">
        <v>661</v>
      </c>
      <c r="D492" s="27" t="s">
        <v>7</v>
      </c>
      <c r="E492" s="34">
        <v>22</v>
      </c>
      <c r="F492" s="58">
        <v>10</v>
      </c>
      <c r="G492" s="58">
        <v>220</v>
      </c>
      <c r="H492" s="5"/>
    </row>
    <row r="493" spans="1:8" ht="15.75" x14ac:dyDescent="0.25">
      <c r="A493" s="87"/>
      <c r="B493" s="89"/>
      <c r="C493" s="57" t="s">
        <v>16</v>
      </c>
      <c r="D493" s="27" t="s">
        <v>163</v>
      </c>
      <c r="E493" s="34">
        <v>1</v>
      </c>
      <c r="F493" s="58">
        <v>200</v>
      </c>
      <c r="G493" s="58">
        <v>200</v>
      </c>
      <c r="H493" s="5"/>
    </row>
    <row r="494" spans="1:8" ht="15.75" x14ac:dyDescent="0.25">
      <c r="A494" s="87"/>
      <c r="B494" s="89"/>
      <c r="C494" s="57" t="s">
        <v>662</v>
      </c>
      <c r="D494" s="27" t="s">
        <v>7</v>
      </c>
      <c r="E494" s="34">
        <v>8</v>
      </c>
      <c r="F494" s="58">
        <v>20</v>
      </c>
      <c r="G494" s="58">
        <v>160</v>
      </c>
      <c r="H494" s="5"/>
    </row>
    <row r="495" spans="1:8" ht="15.75" x14ac:dyDescent="0.25">
      <c r="A495" s="87"/>
      <c r="B495" s="89"/>
      <c r="C495" s="57" t="s">
        <v>663</v>
      </c>
      <c r="D495" s="27" t="s">
        <v>163</v>
      </c>
      <c r="E495" s="34">
        <v>3</v>
      </c>
      <c r="F495" s="58">
        <v>30</v>
      </c>
      <c r="G495" s="58">
        <v>90</v>
      </c>
      <c r="H495" s="5"/>
    </row>
    <row r="496" spans="1:8" ht="15.75" x14ac:dyDescent="0.25">
      <c r="A496" s="87"/>
      <c r="B496" s="89"/>
      <c r="C496" s="57" t="s">
        <v>14</v>
      </c>
      <c r="D496" s="27" t="s">
        <v>163</v>
      </c>
      <c r="E496" s="34">
        <v>7</v>
      </c>
      <c r="F496" s="58">
        <v>30</v>
      </c>
      <c r="G496" s="58">
        <v>210</v>
      </c>
      <c r="H496" s="5"/>
    </row>
    <row r="497" spans="1:8" ht="15.75" x14ac:dyDescent="0.25">
      <c r="A497" s="87"/>
      <c r="B497" s="89"/>
      <c r="C497" s="57" t="s">
        <v>664</v>
      </c>
      <c r="D497" s="27" t="s">
        <v>163</v>
      </c>
      <c r="E497" s="34">
        <f>5+3+3</f>
        <v>11</v>
      </c>
      <c r="F497" s="58">
        <f>G497/E497</f>
        <v>174.43363636363637</v>
      </c>
      <c r="G497" s="58">
        <f>847.95+524.82+546</f>
        <v>1918.77</v>
      </c>
      <c r="H497" s="5"/>
    </row>
    <row r="498" spans="1:8" ht="15.75" x14ac:dyDescent="0.25">
      <c r="A498" s="87"/>
      <c r="B498" s="89"/>
      <c r="C498" s="57" t="s">
        <v>539</v>
      </c>
      <c r="D498" s="27" t="s">
        <v>7</v>
      </c>
      <c r="E498" s="34">
        <v>10</v>
      </c>
      <c r="F498" s="58">
        <v>682.65</v>
      </c>
      <c r="G498" s="58">
        <v>6826.5</v>
      </c>
      <c r="H498" s="5"/>
    </row>
    <row r="499" spans="1:8" ht="15.75" x14ac:dyDescent="0.25">
      <c r="A499" s="87"/>
      <c r="B499" s="89"/>
      <c r="C499" s="57" t="s">
        <v>65</v>
      </c>
      <c r="D499" s="27" t="s">
        <v>7</v>
      </c>
      <c r="E499" s="34">
        <v>1</v>
      </c>
      <c r="F499" s="58">
        <v>6529.45</v>
      </c>
      <c r="G499" s="58">
        <v>6529.45</v>
      </c>
      <c r="H499" s="5"/>
    </row>
    <row r="500" spans="1:8" ht="15.75" x14ac:dyDescent="0.25">
      <c r="A500" s="87"/>
      <c r="B500" s="89"/>
      <c r="C500" s="57" t="s">
        <v>666</v>
      </c>
      <c r="D500" s="27" t="s">
        <v>7</v>
      </c>
      <c r="E500" s="34">
        <v>8</v>
      </c>
      <c r="F500" s="58">
        <v>164.65</v>
      </c>
      <c r="G500" s="58">
        <v>1317.2</v>
      </c>
      <c r="H500" s="5"/>
    </row>
    <row r="501" spans="1:8" ht="15.75" x14ac:dyDescent="0.25">
      <c r="A501" s="87"/>
      <c r="B501" s="89"/>
      <c r="C501" s="57" t="s">
        <v>668</v>
      </c>
      <c r="D501" s="27" t="s">
        <v>7</v>
      </c>
      <c r="E501" s="34">
        <v>4</v>
      </c>
      <c r="F501" s="58">
        <v>190.92</v>
      </c>
      <c r="G501" s="58">
        <v>763.68</v>
      </c>
      <c r="H501" s="5"/>
    </row>
    <row r="502" spans="1:8" ht="15.75" x14ac:dyDescent="0.25">
      <c r="A502" s="87"/>
      <c r="B502" s="89"/>
      <c r="C502" s="30" t="s">
        <v>669</v>
      </c>
      <c r="D502" s="27" t="s">
        <v>7</v>
      </c>
      <c r="E502" s="4">
        <v>10</v>
      </c>
      <c r="F502" s="32">
        <v>955</v>
      </c>
      <c r="G502" s="32">
        <v>9550</v>
      </c>
      <c r="H502" s="5"/>
    </row>
    <row r="503" spans="1:8" ht="15.75" x14ac:dyDescent="0.25">
      <c r="A503" s="83"/>
      <c r="B503" s="90"/>
      <c r="C503" s="30" t="s">
        <v>667</v>
      </c>
      <c r="D503" s="27" t="s">
        <v>7</v>
      </c>
      <c r="E503" s="4">
        <v>5</v>
      </c>
      <c r="F503" s="32">
        <v>255.67</v>
      </c>
      <c r="G503" s="32">
        <v>1278.3499999999999</v>
      </c>
      <c r="H503" s="5"/>
    </row>
    <row r="504" spans="1:8" ht="25.5" x14ac:dyDescent="0.25">
      <c r="A504" s="40"/>
      <c r="B504" s="98"/>
      <c r="C504" s="8" t="s">
        <v>9</v>
      </c>
      <c r="D504" s="7"/>
      <c r="E504" s="9"/>
      <c r="F504" s="61"/>
      <c r="G504" s="61">
        <f>SUM(G478:G503)</f>
        <v>39649.17</v>
      </c>
      <c r="H504" s="8">
        <f>SUM(H478:H480)</f>
        <v>0</v>
      </c>
    </row>
    <row r="505" spans="1:8" ht="15.75" x14ac:dyDescent="0.25">
      <c r="A505" s="92">
        <v>17</v>
      </c>
      <c r="B505" s="95" t="s">
        <v>44</v>
      </c>
      <c r="C505" s="57" t="s">
        <v>652</v>
      </c>
      <c r="D505" s="27" t="s">
        <v>7</v>
      </c>
      <c r="E505" s="34">
        <v>42</v>
      </c>
      <c r="F505" s="58">
        <v>8.32</v>
      </c>
      <c r="G505" s="58">
        <v>349.44</v>
      </c>
      <c r="H505" s="5" t="s">
        <v>397</v>
      </c>
    </row>
    <row r="506" spans="1:8" ht="15.75" x14ac:dyDescent="0.25">
      <c r="A506" s="93"/>
      <c r="B506" s="96"/>
      <c r="C506" s="57" t="s">
        <v>653</v>
      </c>
      <c r="D506" s="27" t="s">
        <v>7</v>
      </c>
      <c r="E506" s="34">
        <v>22</v>
      </c>
      <c r="F506" s="58">
        <v>10</v>
      </c>
      <c r="G506" s="33">
        <v>220</v>
      </c>
      <c r="H506" s="5"/>
    </row>
    <row r="507" spans="1:8" ht="15.75" x14ac:dyDescent="0.25">
      <c r="A507" s="93"/>
      <c r="B507" s="96"/>
      <c r="C507" s="57" t="s">
        <v>654</v>
      </c>
      <c r="D507" s="27" t="s">
        <v>7</v>
      </c>
      <c r="E507" s="34">
        <v>6</v>
      </c>
      <c r="F507" s="58">
        <v>20</v>
      </c>
      <c r="G507" s="33">
        <v>120</v>
      </c>
      <c r="H507" s="5"/>
    </row>
    <row r="508" spans="1:8" ht="15.75" x14ac:dyDescent="0.25">
      <c r="A508" s="93"/>
      <c r="B508" s="96"/>
      <c r="C508" s="57" t="s">
        <v>655</v>
      </c>
      <c r="D508" s="27" t="s">
        <v>7</v>
      </c>
      <c r="E508" s="34">
        <v>4</v>
      </c>
      <c r="F508" s="58">
        <v>30</v>
      </c>
      <c r="G508" s="33">
        <v>120</v>
      </c>
      <c r="H508" s="5"/>
    </row>
    <row r="509" spans="1:8" ht="15.75" x14ac:dyDescent="0.25">
      <c r="A509" s="93"/>
      <c r="B509" s="96"/>
      <c r="C509" s="57" t="s">
        <v>656</v>
      </c>
      <c r="D509" s="27" t="s">
        <v>7</v>
      </c>
      <c r="E509" s="34">
        <v>1</v>
      </c>
      <c r="F509" s="58">
        <v>31</v>
      </c>
      <c r="G509" s="33">
        <v>31</v>
      </c>
      <c r="H509" s="5"/>
    </row>
    <row r="510" spans="1:8" ht="15.75" x14ac:dyDescent="0.25">
      <c r="A510" s="93"/>
      <c r="B510" s="96"/>
      <c r="C510" s="57" t="s">
        <v>657</v>
      </c>
      <c r="D510" s="27" t="s">
        <v>7</v>
      </c>
      <c r="E510" s="34">
        <v>12</v>
      </c>
      <c r="F510" s="58">
        <v>10</v>
      </c>
      <c r="G510" s="33">
        <v>120</v>
      </c>
      <c r="H510" s="5"/>
    </row>
    <row r="511" spans="1:8" ht="15.75" x14ac:dyDescent="0.25">
      <c r="A511" s="93"/>
      <c r="B511" s="96"/>
      <c r="C511" s="57" t="s">
        <v>658</v>
      </c>
      <c r="D511" s="27" t="s">
        <v>7</v>
      </c>
      <c r="E511" s="34">
        <v>2</v>
      </c>
      <c r="F511" s="58">
        <v>30</v>
      </c>
      <c r="G511" s="33">
        <v>60</v>
      </c>
      <c r="H511" s="5"/>
    </row>
    <row r="512" spans="1:8" ht="15.75" x14ac:dyDescent="0.25">
      <c r="A512" s="93"/>
      <c r="B512" s="96"/>
      <c r="C512" s="57" t="s">
        <v>659</v>
      </c>
      <c r="D512" s="27" t="s">
        <v>7</v>
      </c>
      <c r="E512" s="34">
        <v>2</v>
      </c>
      <c r="F512" s="58">
        <v>100</v>
      </c>
      <c r="G512" s="33">
        <v>200</v>
      </c>
      <c r="H512" s="5"/>
    </row>
    <row r="513" spans="1:8" ht="15.75" x14ac:dyDescent="0.25">
      <c r="A513" s="93"/>
      <c r="B513" s="96"/>
      <c r="C513" s="57" t="s">
        <v>636</v>
      </c>
      <c r="D513" s="27" t="s">
        <v>7</v>
      </c>
      <c r="E513" s="34">
        <v>4</v>
      </c>
      <c r="F513" s="58">
        <v>50</v>
      </c>
      <c r="G513" s="33">
        <v>200</v>
      </c>
      <c r="H513" s="5"/>
    </row>
    <row r="514" spans="1:8" ht="15.75" x14ac:dyDescent="0.25">
      <c r="A514" s="93"/>
      <c r="B514" s="96"/>
      <c r="C514" s="57" t="s">
        <v>660</v>
      </c>
      <c r="D514" s="27" t="s">
        <v>7</v>
      </c>
      <c r="E514" s="34">
        <v>12</v>
      </c>
      <c r="F514" s="58">
        <v>15</v>
      </c>
      <c r="G514" s="33">
        <v>180</v>
      </c>
      <c r="H514" s="5"/>
    </row>
    <row r="515" spans="1:8" ht="15.75" x14ac:dyDescent="0.25">
      <c r="A515" s="93"/>
      <c r="B515" s="96"/>
      <c r="C515" s="57" t="s">
        <v>661</v>
      </c>
      <c r="D515" s="27" t="s">
        <v>7</v>
      </c>
      <c r="E515" s="34">
        <v>22</v>
      </c>
      <c r="F515" s="58">
        <v>10</v>
      </c>
      <c r="G515" s="33">
        <v>220</v>
      </c>
      <c r="H515" s="5"/>
    </row>
    <row r="516" spans="1:8" ht="15.75" x14ac:dyDescent="0.25">
      <c r="A516" s="93"/>
      <c r="B516" s="96"/>
      <c r="C516" s="57" t="s">
        <v>16</v>
      </c>
      <c r="D516" s="27" t="s">
        <v>163</v>
      </c>
      <c r="E516" s="34">
        <v>2</v>
      </c>
      <c r="F516" s="58">
        <v>200</v>
      </c>
      <c r="G516" s="33">
        <v>400</v>
      </c>
      <c r="H516" s="5"/>
    </row>
    <row r="517" spans="1:8" ht="15.75" x14ac:dyDescent="0.25">
      <c r="A517" s="93"/>
      <c r="B517" s="96"/>
      <c r="C517" s="57" t="s">
        <v>662</v>
      </c>
      <c r="D517" s="27" t="s">
        <v>7</v>
      </c>
      <c r="E517" s="34">
        <v>8</v>
      </c>
      <c r="F517" s="58">
        <v>20</v>
      </c>
      <c r="G517" s="33">
        <v>160</v>
      </c>
      <c r="H517" s="5"/>
    </row>
    <row r="518" spans="1:8" ht="15.75" x14ac:dyDescent="0.25">
      <c r="A518" s="93"/>
      <c r="B518" s="96"/>
      <c r="C518" s="57" t="s">
        <v>663</v>
      </c>
      <c r="D518" s="27" t="s">
        <v>163</v>
      </c>
      <c r="E518" s="34">
        <v>3</v>
      </c>
      <c r="F518" s="58">
        <v>30</v>
      </c>
      <c r="G518" s="33">
        <v>90</v>
      </c>
      <c r="H518" s="5"/>
    </row>
    <row r="519" spans="1:8" ht="15.75" x14ac:dyDescent="0.25">
      <c r="A519" s="93"/>
      <c r="B519" s="96"/>
      <c r="C519" s="57" t="s">
        <v>14</v>
      </c>
      <c r="D519" s="27" t="s">
        <v>163</v>
      </c>
      <c r="E519" s="34">
        <v>7</v>
      </c>
      <c r="F519" s="58">
        <v>30</v>
      </c>
      <c r="G519" s="32">
        <v>210</v>
      </c>
      <c r="H519" s="5"/>
    </row>
    <row r="520" spans="1:8" ht="15.75" x14ac:dyDescent="0.25">
      <c r="A520" s="93"/>
      <c r="B520" s="96"/>
      <c r="C520" s="57" t="s">
        <v>664</v>
      </c>
      <c r="D520" s="27" t="s">
        <v>163</v>
      </c>
      <c r="E520" s="34">
        <v>12</v>
      </c>
      <c r="F520" s="58">
        <f>G520/E520</f>
        <v>174.47583333333333</v>
      </c>
      <c r="G520" s="32">
        <f>847.95+699.76+546</f>
        <v>2093.71</v>
      </c>
      <c r="H520" s="5"/>
    </row>
    <row r="521" spans="1:8" ht="15.75" x14ac:dyDescent="0.25">
      <c r="A521" s="93"/>
      <c r="B521" s="96"/>
      <c r="C521" s="57" t="s">
        <v>539</v>
      </c>
      <c r="D521" s="27" t="s">
        <v>7</v>
      </c>
      <c r="E521" s="34">
        <v>10</v>
      </c>
      <c r="F521" s="58">
        <v>682.65</v>
      </c>
      <c r="G521" s="58">
        <v>6826.5</v>
      </c>
      <c r="H521" s="5"/>
    </row>
    <row r="522" spans="1:8" ht="15.75" x14ac:dyDescent="0.25">
      <c r="A522" s="93"/>
      <c r="B522" s="96"/>
      <c r="C522" s="57" t="s">
        <v>65</v>
      </c>
      <c r="D522" s="27" t="s">
        <v>7</v>
      </c>
      <c r="E522" s="34">
        <v>1</v>
      </c>
      <c r="F522" s="58">
        <v>6529.45</v>
      </c>
      <c r="G522" s="58">
        <v>6529.45</v>
      </c>
      <c r="H522" s="5"/>
    </row>
    <row r="523" spans="1:8" ht="15.75" x14ac:dyDescent="0.25">
      <c r="A523" s="93"/>
      <c r="B523" s="96"/>
      <c r="C523" s="57" t="s">
        <v>666</v>
      </c>
      <c r="D523" s="27" t="s">
        <v>7</v>
      </c>
      <c r="E523" s="34">
        <v>8</v>
      </c>
      <c r="F523" s="58">
        <v>164.65</v>
      </c>
      <c r="G523" s="58">
        <v>1317.2</v>
      </c>
      <c r="H523" s="5"/>
    </row>
    <row r="524" spans="1:8" ht="15.75" x14ac:dyDescent="0.25">
      <c r="A524" s="93"/>
      <c r="B524" s="96"/>
      <c r="C524" s="57" t="s">
        <v>668</v>
      </c>
      <c r="D524" s="27" t="s">
        <v>7</v>
      </c>
      <c r="E524" s="34">
        <v>4</v>
      </c>
      <c r="F524" s="58">
        <v>190.92</v>
      </c>
      <c r="G524" s="58">
        <v>763.68</v>
      </c>
      <c r="H524" s="5"/>
    </row>
    <row r="525" spans="1:8" ht="15.75" x14ac:dyDescent="0.25">
      <c r="A525" s="93"/>
      <c r="B525" s="96"/>
      <c r="C525" s="30" t="s">
        <v>669</v>
      </c>
      <c r="D525" s="27" t="s">
        <v>7</v>
      </c>
      <c r="E525" s="4">
        <v>10</v>
      </c>
      <c r="F525" s="32">
        <v>955</v>
      </c>
      <c r="G525" s="32">
        <v>9550</v>
      </c>
      <c r="H525" s="5"/>
    </row>
    <row r="526" spans="1:8" ht="15.75" x14ac:dyDescent="0.25">
      <c r="A526" s="94"/>
      <c r="B526" s="97"/>
      <c r="C526" s="30" t="s">
        <v>667</v>
      </c>
      <c r="D526" s="27" t="s">
        <v>7</v>
      </c>
      <c r="E526" s="4">
        <v>5</v>
      </c>
      <c r="F526" s="32">
        <v>255.67</v>
      </c>
      <c r="G526" s="32">
        <v>1278.3499999999999</v>
      </c>
      <c r="H526" s="5"/>
    </row>
    <row r="527" spans="1:8" ht="25.5" x14ac:dyDescent="0.25">
      <c r="A527" s="40"/>
      <c r="B527" s="98"/>
      <c r="C527" s="8"/>
      <c r="D527" s="7"/>
      <c r="E527" s="9"/>
      <c r="F527" s="61"/>
      <c r="G527" s="61">
        <f>SUM(G505:G526)</f>
        <v>31039.329999999998</v>
      </c>
      <c r="H527" s="8"/>
    </row>
    <row r="528" spans="1:8" s="14" customFormat="1" ht="15.75" x14ac:dyDescent="0.25">
      <c r="A528" s="92">
        <v>18</v>
      </c>
      <c r="B528" s="95" t="s">
        <v>141</v>
      </c>
      <c r="C528" s="30" t="s">
        <v>347</v>
      </c>
      <c r="D528" s="27" t="s">
        <v>7</v>
      </c>
      <c r="E528" s="4">
        <v>5</v>
      </c>
      <c r="F528" s="32">
        <v>8876.2999999999993</v>
      </c>
      <c r="G528" s="32">
        <v>44381.5</v>
      </c>
      <c r="H528" s="5" t="s">
        <v>397</v>
      </c>
    </row>
    <row r="529" spans="1:8" s="14" customFormat="1" ht="15.75" x14ac:dyDescent="0.25">
      <c r="A529" s="93"/>
      <c r="B529" s="96"/>
      <c r="C529" s="30" t="s">
        <v>649</v>
      </c>
      <c r="D529" s="27" t="s">
        <v>7</v>
      </c>
      <c r="E529" s="4">
        <v>5</v>
      </c>
      <c r="F529" s="32">
        <v>166.05</v>
      </c>
      <c r="G529" s="32">
        <v>832.5</v>
      </c>
      <c r="H529" s="5"/>
    </row>
    <row r="530" spans="1:8" s="14" customFormat="1" ht="15.75" x14ac:dyDescent="0.25">
      <c r="A530" s="93"/>
      <c r="B530" s="96"/>
      <c r="C530" s="30" t="s">
        <v>650</v>
      </c>
      <c r="D530" s="27" t="s">
        <v>7</v>
      </c>
      <c r="E530" s="4">
        <v>5</v>
      </c>
      <c r="F530" s="32">
        <v>83.62</v>
      </c>
      <c r="G530" s="32">
        <v>418.1</v>
      </c>
      <c r="H530" s="5"/>
    </row>
    <row r="531" spans="1:8" s="14" customFormat="1" ht="15.75" x14ac:dyDescent="0.25">
      <c r="A531" s="93"/>
      <c r="B531" s="96"/>
      <c r="C531" s="30" t="s">
        <v>651</v>
      </c>
      <c r="D531" s="27" t="s">
        <v>7</v>
      </c>
      <c r="E531" s="4">
        <v>5</v>
      </c>
      <c r="F531" s="32">
        <v>187.96</v>
      </c>
      <c r="G531" s="32">
        <v>939.8</v>
      </c>
      <c r="H531" s="5"/>
    </row>
    <row r="532" spans="1:8" s="14" customFormat="1" ht="15.75" x14ac:dyDescent="0.25">
      <c r="A532" s="93"/>
      <c r="B532" s="96"/>
      <c r="C532" s="57" t="s">
        <v>652</v>
      </c>
      <c r="D532" s="27" t="s">
        <v>7</v>
      </c>
      <c r="E532" s="34">
        <v>12</v>
      </c>
      <c r="F532" s="58">
        <v>8.32</v>
      </c>
      <c r="G532" s="58">
        <v>99.84</v>
      </c>
      <c r="H532" s="5"/>
    </row>
    <row r="533" spans="1:8" s="14" customFormat="1" ht="15.75" x14ac:dyDescent="0.25">
      <c r="A533" s="93"/>
      <c r="B533" s="96"/>
      <c r="C533" s="57" t="s">
        <v>653</v>
      </c>
      <c r="D533" s="27" t="s">
        <v>7</v>
      </c>
      <c r="E533" s="34">
        <v>22</v>
      </c>
      <c r="F533" s="58">
        <v>10</v>
      </c>
      <c r="G533" s="58">
        <v>220</v>
      </c>
      <c r="H533" s="5"/>
    </row>
    <row r="534" spans="1:8" s="14" customFormat="1" ht="15.75" x14ac:dyDescent="0.25">
      <c r="A534" s="93"/>
      <c r="B534" s="96"/>
      <c r="C534" s="57" t="s">
        <v>654</v>
      </c>
      <c r="D534" s="27" t="s">
        <v>7</v>
      </c>
      <c r="E534" s="34">
        <v>6</v>
      </c>
      <c r="F534" s="58">
        <v>20</v>
      </c>
      <c r="G534" s="58">
        <v>120</v>
      </c>
      <c r="H534" s="5"/>
    </row>
    <row r="535" spans="1:8" s="14" customFormat="1" ht="15.75" x14ac:dyDescent="0.25">
      <c r="A535" s="93"/>
      <c r="B535" s="96"/>
      <c r="C535" s="57" t="s">
        <v>655</v>
      </c>
      <c r="D535" s="27" t="s">
        <v>7</v>
      </c>
      <c r="E535" s="34">
        <v>4</v>
      </c>
      <c r="F535" s="58">
        <v>30</v>
      </c>
      <c r="G535" s="58">
        <v>120</v>
      </c>
      <c r="H535" s="5"/>
    </row>
    <row r="536" spans="1:8" s="14" customFormat="1" ht="15.75" x14ac:dyDescent="0.25">
      <c r="A536" s="93"/>
      <c r="B536" s="96"/>
      <c r="C536" s="57" t="s">
        <v>656</v>
      </c>
      <c r="D536" s="27" t="s">
        <v>7</v>
      </c>
      <c r="E536" s="34">
        <v>1</v>
      </c>
      <c r="F536" s="58">
        <v>31</v>
      </c>
      <c r="G536" s="58">
        <v>31</v>
      </c>
      <c r="H536" s="5"/>
    </row>
    <row r="537" spans="1:8" s="14" customFormat="1" ht="15.75" x14ac:dyDescent="0.25">
      <c r="A537" s="93"/>
      <c r="B537" s="96"/>
      <c r="C537" s="57" t="s">
        <v>657</v>
      </c>
      <c r="D537" s="27" t="s">
        <v>7</v>
      </c>
      <c r="E537" s="34">
        <v>12</v>
      </c>
      <c r="F537" s="58">
        <v>10</v>
      </c>
      <c r="G537" s="58">
        <v>120</v>
      </c>
      <c r="H537" s="5"/>
    </row>
    <row r="538" spans="1:8" s="14" customFormat="1" ht="15.75" x14ac:dyDescent="0.25">
      <c r="A538" s="93"/>
      <c r="B538" s="96"/>
      <c r="C538" s="57" t="s">
        <v>658</v>
      </c>
      <c r="D538" s="27" t="s">
        <v>7</v>
      </c>
      <c r="E538" s="34">
        <v>3</v>
      </c>
      <c r="F538" s="58">
        <v>30</v>
      </c>
      <c r="G538" s="58">
        <v>90</v>
      </c>
      <c r="H538" s="5"/>
    </row>
    <row r="539" spans="1:8" s="14" customFormat="1" ht="15.75" x14ac:dyDescent="0.25">
      <c r="A539" s="93"/>
      <c r="B539" s="96"/>
      <c r="C539" s="57" t="s">
        <v>659</v>
      </c>
      <c r="D539" s="27" t="s">
        <v>7</v>
      </c>
      <c r="E539" s="34">
        <v>1</v>
      </c>
      <c r="F539" s="58">
        <v>100</v>
      </c>
      <c r="G539" s="58">
        <v>100</v>
      </c>
      <c r="H539" s="5"/>
    </row>
    <row r="540" spans="1:8" s="14" customFormat="1" ht="15.75" x14ac:dyDescent="0.25">
      <c r="A540" s="93"/>
      <c r="B540" s="96"/>
      <c r="C540" s="57" t="s">
        <v>636</v>
      </c>
      <c r="D540" s="27" t="s">
        <v>7</v>
      </c>
      <c r="E540" s="34">
        <v>4</v>
      </c>
      <c r="F540" s="58">
        <v>50</v>
      </c>
      <c r="G540" s="58">
        <v>200</v>
      </c>
      <c r="H540" s="5"/>
    </row>
    <row r="541" spans="1:8" s="14" customFormat="1" ht="15.75" x14ac:dyDescent="0.25">
      <c r="A541" s="93"/>
      <c r="B541" s="96"/>
      <c r="C541" s="57" t="s">
        <v>660</v>
      </c>
      <c r="D541" s="27" t="s">
        <v>7</v>
      </c>
      <c r="E541" s="34">
        <v>12</v>
      </c>
      <c r="F541" s="58">
        <v>15</v>
      </c>
      <c r="G541" s="58">
        <v>180</v>
      </c>
      <c r="H541" s="5"/>
    </row>
    <row r="542" spans="1:8" s="14" customFormat="1" ht="15.75" x14ac:dyDescent="0.25">
      <c r="A542" s="93"/>
      <c r="B542" s="96"/>
      <c r="C542" s="57" t="s">
        <v>661</v>
      </c>
      <c r="D542" s="27" t="s">
        <v>7</v>
      </c>
      <c r="E542" s="34">
        <v>22</v>
      </c>
      <c r="F542" s="58">
        <v>10</v>
      </c>
      <c r="G542" s="58">
        <v>220</v>
      </c>
      <c r="H542" s="5"/>
    </row>
    <row r="543" spans="1:8" s="14" customFormat="1" ht="15.75" x14ac:dyDescent="0.25">
      <c r="A543" s="93"/>
      <c r="B543" s="96"/>
      <c r="C543" s="57" t="s">
        <v>16</v>
      </c>
      <c r="D543" s="27" t="s">
        <v>163</v>
      </c>
      <c r="E543" s="34">
        <v>1</v>
      </c>
      <c r="F543" s="58">
        <v>200</v>
      </c>
      <c r="G543" s="58">
        <v>200</v>
      </c>
      <c r="H543" s="5"/>
    </row>
    <row r="544" spans="1:8" s="14" customFormat="1" ht="15.75" x14ac:dyDescent="0.25">
      <c r="A544" s="93"/>
      <c r="B544" s="96"/>
      <c r="C544" s="57" t="s">
        <v>662</v>
      </c>
      <c r="D544" s="27" t="s">
        <v>7</v>
      </c>
      <c r="E544" s="34">
        <v>7</v>
      </c>
      <c r="F544" s="58">
        <v>20</v>
      </c>
      <c r="G544" s="58">
        <v>140</v>
      </c>
      <c r="H544" s="5"/>
    </row>
    <row r="545" spans="1:8" s="14" customFormat="1" ht="15.75" x14ac:dyDescent="0.25">
      <c r="A545" s="93"/>
      <c r="B545" s="96"/>
      <c r="C545" s="57" t="s">
        <v>663</v>
      </c>
      <c r="D545" s="27" t="s">
        <v>163</v>
      </c>
      <c r="E545" s="34">
        <v>2</v>
      </c>
      <c r="F545" s="58">
        <v>30</v>
      </c>
      <c r="G545" s="58">
        <v>60</v>
      </c>
      <c r="H545" s="5"/>
    </row>
    <row r="546" spans="1:8" s="14" customFormat="1" ht="15.75" x14ac:dyDescent="0.25">
      <c r="A546" s="93"/>
      <c r="B546" s="96"/>
      <c r="C546" s="57" t="s">
        <v>14</v>
      </c>
      <c r="D546" s="27" t="s">
        <v>163</v>
      </c>
      <c r="E546" s="34">
        <v>7</v>
      </c>
      <c r="F546" s="58">
        <v>30</v>
      </c>
      <c r="G546" s="58">
        <v>210</v>
      </c>
      <c r="H546" s="5"/>
    </row>
    <row r="547" spans="1:8" s="14" customFormat="1" ht="15.75" x14ac:dyDescent="0.25">
      <c r="A547" s="93"/>
      <c r="B547" s="96"/>
      <c r="C547" s="57" t="s">
        <v>664</v>
      </c>
      <c r="D547" s="27" t="s">
        <v>163</v>
      </c>
      <c r="E547" s="34">
        <v>11</v>
      </c>
      <c r="F547" s="58">
        <f>G547/E547</f>
        <v>173.79181818181817</v>
      </c>
      <c r="G547" s="58">
        <f>364+699.76+847.95</f>
        <v>1911.71</v>
      </c>
      <c r="H547" s="5"/>
    </row>
    <row r="548" spans="1:8" s="14" customFormat="1" ht="15.75" x14ac:dyDescent="0.25">
      <c r="A548" s="93"/>
      <c r="B548" s="96"/>
      <c r="C548" s="57" t="s">
        <v>539</v>
      </c>
      <c r="D548" s="27" t="s">
        <v>7</v>
      </c>
      <c r="E548" s="34">
        <v>10</v>
      </c>
      <c r="F548" s="58">
        <v>682.65</v>
      </c>
      <c r="G548" s="58">
        <v>6826.5</v>
      </c>
      <c r="H548" s="5"/>
    </row>
    <row r="549" spans="1:8" s="14" customFormat="1" ht="15.75" x14ac:dyDescent="0.25">
      <c r="A549" s="93"/>
      <c r="B549" s="96"/>
      <c r="C549" s="57" t="s">
        <v>65</v>
      </c>
      <c r="D549" s="27" t="s">
        <v>7</v>
      </c>
      <c r="E549" s="34">
        <v>1</v>
      </c>
      <c r="F549" s="58">
        <v>6529.45</v>
      </c>
      <c r="G549" s="58">
        <v>6529.45</v>
      </c>
      <c r="H549" s="5"/>
    </row>
    <row r="550" spans="1:8" s="14" customFormat="1" ht="15.75" x14ac:dyDescent="0.25">
      <c r="A550" s="93"/>
      <c r="B550" s="96"/>
      <c r="C550" s="57" t="s">
        <v>666</v>
      </c>
      <c r="D550" s="27" t="s">
        <v>7</v>
      </c>
      <c r="E550" s="34">
        <v>8</v>
      </c>
      <c r="F550" s="58">
        <v>164.65</v>
      </c>
      <c r="G550" s="58">
        <v>1317.2</v>
      </c>
      <c r="H550" s="5"/>
    </row>
    <row r="551" spans="1:8" s="14" customFormat="1" ht="15.75" x14ac:dyDescent="0.25">
      <c r="A551" s="93"/>
      <c r="B551" s="96"/>
      <c r="C551" s="57" t="s">
        <v>668</v>
      </c>
      <c r="D551" s="27" t="s">
        <v>7</v>
      </c>
      <c r="E551" s="34">
        <v>4</v>
      </c>
      <c r="F551" s="58">
        <v>190.92</v>
      </c>
      <c r="G551" s="58">
        <v>763.68</v>
      </c>
      <c r="H551" s="5"/>
    </row>
    <row r="552" spans="1:8" s="14" customFormat="1" ht="15.75" x14ac:dyDescent="0.25">
      <c r="A552" s="93"/>
      <c r="B552" s="96"/>
      <c r="C552" s="30" t="s">
        <v>669</v>
      </c>
      <c r="D552" s="27" t="s">
        <v>7</v>
      </c>
      <c r="E552" s="4">
        <v>10</v>
      </c>
      <c r="F552" s="32">
        <v>955</v>
      </c>
      <c r="G552" s="32">
        <v>9550</v>
      </c>
      <c r="H552" s="5"/>
    </row>
    <row r="553" spans="1:8" s="14" customFormat="1" ht="15.75" x14ac:dyDescent="0.25">
      <c r="A553" s="94"/>
      <c r="B553" s="97"/>
      <c r="C553" s="30" t="s">
        <v>667</v>
      </c>
      <c r="D553" s="27" t="s">
        <v>7</v>
      </c>
      <c r="E553" s="4">
        <v>5</v>
      </c>
      <c r="F553" s="32">
        <v>255.67</v>
      </c>
      <c r="G553" s="32">
        <v>1278.3499999999999</v>
      </c>
      <c r="H553" s="5"/>
    </row>
    <row r="554" spans="1:8" ht="25.5" x14ac:dyDescent="0.25">
      <c r="A554" s="40"/>
      <c r="B554" s="98"/>
      <c r="C554" s="8"/>
      <c r="D554" s="7"/>
      <c r="E554" s="9"/>
      <c r="F554" s="61"/>
      <c r="G554" s="61">
        <f>SUM(G528:G553)</f>
        <v>76859.62999999999</v>
      </c>
      <c r="H554" s="8"/>
    </row>
    <row r="555" spans="1:8" ht="15.75" x14ac:dyDescent="0.25">
      <c r="A555" s="82">
        <v>19</v>
      </c>
      <c r="B555" s="88" t="s">
        <v>40</v>
      </c>
      <c r="C555" s="30" t="s">
        <v>347</v>
      </c>
      <c r="D555" s="27" t="s">
        <v>7</v>
      </c>
      <c r="E555" s="4">
        <v>3</v>
      </c>
      <c r="F555" s="32">
        <v>8876.2999999999993</v>
      </c>
      <c r="G555" s="32">
        <v>26628.9</v>
      </c>
      <c r="H555" s="2"/>
    </row>
    <row r="556" spans="1:8" ht="15.75" x14ac:dyDescent="0.25">
      <c r="A556" s="87"/>
      <c r="B556" s="89"/>
      <c r="C556" s="30" t="s">
        <v>649</v>
      </c>
      <c r="D556" s="27" t="s">
        <v>7</v>
      </c>
      <c r="E556" s="4">
        <v>3</v>
      </c>
      <c r="F556" s="32">
        <v>166.05</v>
      </c>
      <c r="G556" s="32">
        <v>499.5</v>
      </c>
      <c r="H556" s="2"/>
    </row>
    <row r="557" spans="1:8" ht="15.75" x14ac:dyDescent="0.25">
      <c r="A557" s="87"/>
      <c r="B557" s="89"/>
      <c r="C557" s="30" t="s">
        <v>650</v>
      </c>
      <c r="D557" s="27" t="s">
        <v>7</v>
      </c>
      <c r="E557" s="4">
        <v>3</v>
      </c>
      <c r="F557" s="32">
        <v>83.62</v>
      </c>
      <c r="G557" s="32">
        <v>250.86</v>
      </c>
      <c r="H557" s="2"/>
    </row>
    <row r="558" spans="1:8" ht="15.75" x14ac:dyDescent="0.25">
      <c r="A558" s="87"/>
      <c r="B558" s="89"/>
      <c r="C558" s="30" t="s">
        <v>651</v>
      </c>
      <c r="D558" s="27" t="s">
        <v>7</v>
      </c>
      <c r="E558" s="4">
        <v>3</v>
      </c>
      <c r="F558" s="32">
        <v>187.96</v>
      </c>
      <c r="G558" s="32">
        <v>563.88</v>
      </c>
      <c r="H558" s="2"/>
    </row>
    <row r="559" spans="1:8" ht="15.75" x14ac:dyDescent="0.25">
      <c r="A559" s="87"/>
      <c r="B559" s="89"/>
      <c r="C559" s="57" t="s">
        <v>652</v>
      </c>
      <c r="D559" s="27" t="s">
        <v>7</v>
      </c>
      <c r="E559" s="34">
        <v>42</v>
      </c>
      <c r="F559" s="58">
        <v>8.32</v>
      </c>
      <c r="G559" s="58">
        <v>349.44</v>
      </c>
      <c r="H559" s="2"/>
    </row>
    <row r="560" spans="1:8" ht="15.75" x14ac:dyDescent="0.25">
      <c r="A560" s="87"/>
      <c r="B560" s="89"/>
      <c r="C560" s="57" t="s">
        <v>653</v>
      </c>
      <c r="D560" s="27" t="s">
        <v>7</v>
      </c>
      <c r="E560" s="34">
        <v>22</v>
      </c>
      <c r="F560" s="58">
        <v>10</v>
      </c>
      <c r="G560" s="58">
        <v>220</v>
      </c>
      <c r="H560" s="2"/>
    </row>
    <row r="561" spans="1:8" ht="15.75" x14ac:dyDescent="0.25">
      <c r="A561" s="87"/>
      <c r="B561" s="89"/>
      <c r="C561" s="57" t="s">
        <v>654</v>
      </c>
      <c r="D561" s="27" t="s">
        <v>7</v>
      </c>
      <c r="E561" s="34">
        <v>6</v>
      </c>
      <c r="F561" s="58">
        <v>20</v>
      </c>
      <c r="G561" s="58">
        <v>120</v>
      </c>
      <c r="H561" s="2"/>
    </row>
    <row r="562" spans="1:8" ht="15.75" x14ac:dyDescent="0.25">
      <c r="A562" s="87"/>
      <c r="B562" s="89"/>
      <c r="C562" s="57" t="s">
        <v>655</v>
      </c>
      <c r="D562" s="27" t="s">
        <v>7</v>
      </c>
      <c r="E562" s="34">
        <v>4</v>
      </c>
      <c r="F562" s="58">
        <v>30</v>
      </c>
      <c r="G562" s="58">
        <v>120</v>
      </c>
      <c r="H562" s="2"/>
    </row>
    <row r="563" spans="1:8" ht="15.75" x14ac:dyDescent="0.25">
      <c r="A563" s="87"/>
      <c r="B563" s="89"/>
      <c r="C563" s="57" t="s">
        <v>656</v>
      </c>
      <c r="D563" s="27" t="s">
        <v>7</v>
      </c>
      <c r="E563" s="34">
        <v>1</v>
      </c>
      <c r="F563" s="58">
        <v>31</v>
      </c>
      <c r="G563" s="58">
        <v>31</v>
      </c>
      <c r="H563" s="2"/>
    </row>
    <row r="564" spans="1:8" ht="15.75" x14ac:dyDescent="0.25">
      <c r="A564" s="87"/>
      <c r="B564" s="89"/>
      <c r="C564" s="57" t="s">
        <v>657</v>
      </c>
      <c r="D564" s="27" t="s">
        <v>7</v>
      </c>
      <c r="E564" s="34">
        <v>12</v>
      </c>
      <c r="F564" s="58">
        <v>10</v>
      </c>
      <c r="G564" s="58">
        <v>120</v>
      </c>
      <c r="H564" s="2"/>
    </row>
    <row r="565" spans="1:8" ht="15.75" x14ac:dyDescent="0.25">
      <c r="A565" s="87"/>
      <c r="B565" s="89"/>
      <c r="C565" s="57" t="s">
        <v>658</v>
      </c>
      <c r="D565" s="27" t="s">
        <v>7</v>
      </c>
      <c r="E565" s="34">
        <v>3</v>
      </c>
      <c r="F565" s="58">
        <v>30</v>
      </c>
      <c r="G565" s="58">
        <v>90</v>
      </c>
      <c r="H565" s="2"/>
    </row>
    <row r="566" spans="1:8" ht="15.75" x14ac:dyDescent="0.25">
      <c r="A566" s="87"/>
      <c r="B566" s="89"/>
      <c r="C566" s="57" t="s">
        <v>659</v>
      </c>
      <c r="D566" s="27" t="s">
        <v>7</v>
      </c>
      <c r="E566" s="34">
        <v>1</v>
      </c>
      <c r="F566" s="58">
        <v>100</v>
      </c>
      <c r="G566" s="58">
        <v>100</v>
      </c>
      <c r="H566" s="2"/>
    </row>
    <row r="567" spans="1:8" ht="15.75" x14ac:dyDescent="0.25">
      <c r="A567" s="87"/>
      <c r="B567" s="89"/>
      <c r="C567" s="57" t="s">
        <v>636</v>
      </c>
      <c r="D567" s="27" t="s">
        <v>7</v>
      </c>
      <c r="E567" s="34">
        <v>4</v>
      </c>
      <c r="F567" s="58">
        <v>50</v>
      </c>
      <c r="G567" s="58">
        <v>200</v>
      </c>
      <c r="H567" s="2"/>
    </row>
    <row r="568" spans="1:8" ht="15.75" x14ac:dyDescent="0.25">
      <c r="A568" s="87"/>
      <c r="B568" s="89"/>
      <c r="C568" s="57" t="s">
        <v>660</v>
      </c>
      <c r="D568" s="27" t="s">
        <v>7</v>
      </c>
      <c r="E568" s="34">
        <v>12</v>
      </c>
      <c r="F568" s="58">
        <v>15</v>
      </c>
      <c r="G568" s="58">
        <v>180</v>
      </c>
      <c r="H568" s="2"/>
    </row>
    <row r="569" spans="1:8" ht="15.75" x14ac:dyDescent="0.25">
      <c r="A569" s="87"/>
      <c r="B569" s="89"/>
      <c r="C569" s="57" t="s">
        <v>661</v>
      </c>
      <c r="D569" s="27" t="s">
        <v>7</v>
      </c>
      <c r="E569" s="34">
        <v>22</v>
      </c>
      <c r="F569" s="58">
        <v>10</v>
      </c>
      <c r="G569" s="58">
        <v>220</v>
      </c>
      <c r="H569" s="2"/>
    </row>
    <row r="570" spans="1:8" ht="15.75" x14ac:dyDescent="0.25">
      <c r="A570" s="87"/>
      <c r="B570" s="89"/>
      <c r="C570" s="57" t="s">
        <v>16</v>
      </c>
      <c r="D570" s="27" t="s">
        <v>163</v>
      </c>
      <c r="E570" s="34">
        <v>1</v>
      </c>
      <c r="F570" s="58">
        <v>200</v>
      </c>
      <c r="G570" s="58">
        <v>200</v>
      </c>
      <c r="H570" s="2"/>
    </row>
    <row r="571" spans="1:8" ht="15.75" x14ac:dyDescent="0.25">
      <c r="A571" s="87"/>
      <c r="B571" s="89"/>
      <c r="C571" s="57" t="s">
        <v>662</v>
      </c>
      <c r="D571" s="27" t="s">
        <v>7</v>
      </c>
      <c r="E571" s="34">
        <v>7</v>
      </c>
      <c r="F571" s="58">
        <v>20</v>
      </c>
      <c r="G571" s="58">
        <v>140</v>
      </c>
      <c r="H571" s="2"/>
    </row>
    <row r="572" spans="1:8" ht="15.75" x14ac:dyDescent="0.25">
      <c r="A572" s="87"/>
      <c r="B572" s="89"/>
      <c r="C572" s="57" t="s">
        <v>663</v>
      </c>
      <c r="D572" s="27" t="s">
        <v>163</v>
      </c>
      <c r="E572" s="34">
        <v>2</v>
      </c>
      <c r="F572" s="58">
        <v>30</v>
      </c>
      <c r="G572" s="58">
        <v>60</v>
      </c>
      <c r="H572" s="2"/>
    </row>
    <row r="573" spans="1:8" ht="15.75" x14ac:dyDescent="0.25">
      <c r="A573" s="87"/>
      <c r="B573" s="89"/>
      <c r="C573" s="57" t="s">
        <v>14</v>
      </c>
      <c r="D573" s="27" t="s">
        <v>163</v>
      </c>
      <c r="E573" s="34">
        <v>7</v>
      </c>
      <c r="F573" s="58">
        <v>30</v>
      </c>
      <c r="G573" s="32">
        <v>210</v>
      </c>
      <c r="H573" s="2"/>
    </row>
    <row r="574" spans="1:8" ht="15.75" x14ac:dyDescent="0.25">
      <c r="A574" s="87"/>
      <c r="B574" s="89"/>
      <c r="C574" s="57" t="s">
        <v>664</v>
      </c>
      <c r="D574" s="27" t="s">
        <v>163</v>
      </c>
      <c r="E574" s="34">
        <v>10</v>
      </c>
      <c r="F574" s="58">
        <f>G574/E574</f>
        <v>173.67699999999999</v>
      </c>
      <c r="G574" s="32">
        <f>847.95+524.82+364</f>
        <v>1736.77</v>
      </c>
      <c r="H574" s="2"/>
    </row>
    <row r="575" spans="1:8" ht="15.75" x14ac:dyDescent="0.25">
      <c r="A575" s="87"/>
      <c r="B575" s="89"/>
      <c r="C575" s="57" t="s">
        <v>539</v>
      </c>
      <c r="D575" s="27" t="s">
        <v>7</v>
      </c>
      <c r="E575" s="34">
        <v>10</v>
      </c>
      <c r="F575" s="58">
        <v>682.65</v>
      </c>
      <c r="G575" s="58">
        <v>6826.5</v>
      </c>
      <c r="H575" s="2"/>
    </row>
    <row r="576" spans="1:8" ht="15.75" x14ac:dyDescent="0.25">
      <c r="A576" s="87"/>
      <c r="B576" s="89"/>
      <c r="C576" s="57" t="s">
        <v>65</v>
      </c>
      <c r="D576" s="27" t="s">
        <v>7</v>
      </c>
      <c r="E576" s="34">
        <v>1</v>
      </c>
      <c r="F576" s="58">
        <v>6529.45</v>
      </c>
      <c r="G576" s="58">
        <v>6529.45</v>
      </c>
      <c r="H576" s="2"/>
    </row>
    <row r="577" spans="1:8" ht="15.75" x14ac:dyDescent="0.25">
      <c r="A577" s="87"/>
      <c r="B577" s="89"/>
      <c r="C577" s="57" t="s">
        <v>666</v>
      </c>
      <c r="D577" s="27" t="s">
        <v>7</v>
      </c>
      <c r="E577" s="34">
        <v>8</v>
      </c>
      <c r="F577" s="58">
        <v>164.65</v>
      </c>
      <c r="G577" s="58">
        <v>1317.2</v>
      </c>
      <c r="H577" s="2"/>
    </row>
    <row r="578" spans="1:8" ht="15.75" x14ac:dyDescent="0.25">
      <c r="A578" s="87"/>
      <c r="B578" s="89"/>
      <c r="C578" s="57" t="s">
        <v>668</v>
      </c>
      <c r="D578" s="27" t="s">
        <v>7</v>
      </c>
      <c r="E578" s="34">
        <v>4</v>
      </c>
      <c r="F578" s="58">
        <v>190.92</v>
      </c>
      <c r="G578" s="58">
        <v>763.68</v>
      </c>
      <c r="H578" s="2"/>
    </row>
    <row r="579" spans="1:8" ht="15.75" x14ac:dyDescent="0.25">
      <c r="A579" s="87"/>
      <c r="B579" s="89"/>
      <c r="C579" s="30" t="s">
        <v>669</v>
      </c>
      <c r="D579" s="27" t="s">
        <v>7</v>
      </c>
      <c r="E579" s="4">
        <v>10</v>
      </c>
      <c r="F579" s="32">
        <v>955</v>
      </c>
      <c r="G579" s="32">
        <v>9550</v>
      </c>
      <c r="H579" s="2"/>
    </row>
    <row r="580" spans="1:8" ht="15.75" x14ac:dyDescent="0.25">
      <c r="A580" s="87"/>
      <c r="B580" s="89"/>
      <c r="C580" s="30" t="s">
        <v>667</v>
      </c>
      <c r="D580" s="27" t="s">
        <v>7</v>
      </c>
      <c r="E580" s="4">
        <v>5</v>
      </c>
      <c r="F580" s="32">
        <v>255.67</v>
      </c>
      <c r="G580" s="32">
        <v>1278.3499999999999</v>
      </c>
      <c r="H580" s="2"/>
    </row>
    <row r="581" spans="1:8" ht="25.5" x14ac:dyDescent="0.25">
      <c r="A581" s="40"/>
      <c r="B581" s="98"/>
      <c r="C581" s="8"/>
      <c r="D581" s="7"/>
      <c r="E581" s="9"/>
      <c r="F581" s="61"/>
      <c r="G581" s="61">
        <f>SUM(G555:H580)</f>
        <v>58305.53</v>
      </c>
      <c r="H581" s="8">
        <f>SUM(H555:H555)</f>
        <v>0</v>
      </c>
    </row>
    <row r="582" spans="1:8" ht="15.75" x14ac:dyDescent="0.25">
      <c r="A582" s="92">
        <v>20</v>
      </c>
      <c r="B582" s="95" t="s">
        <v>41</v>
      </c>
      <c r="C582" s="30" t="s">
        <v>347</v>
      </c>
      <c r="D582" s="27" t="s">
        <v>7</v>
      </c>
      <c r="E582" s="4">
        <v>3</v>
      </c>
      <c r="F582" s="32">
        <v>8876.2999999999993</v>
      </c>
      <c r="G582" s="32">
        <v>26628.9</v>
      </c>
      <c r="H582" s="5" t="s">
        <v>397</v>
      </c>
    </row>
    <row r="583" spans="1:8" ht="15.75" x14ac:dyDescent="0.25">
      <c r="A583" s="93"/>
      <c r="B583" s="96"/>
      <c r="C583" s="30" t="s">
        <v>649</v>
      </c>
      <c r="D583" s="27" t="s">
        <v>7</v>
      </c>
      <c r="E583" s="4">
        <v>3</v>
      </c>
      <c r="F583" s="32">
        <v>166.05</v>
      </c>
      <c r="G583" s="32">
        <v>499.5</v>
      </c>
      <c r="H583" s="5"/>
    </row>
    <row r="584" spans="1:8" ht="15.75" x14ac:dyDescent="0.25">
      <c r="A584" s="93"/>
      <c r="B584" s="96"/>
      <c r="C584" s="30" t="s">
        <v>650</v>
      </c>
      <c r="D584" s="27" t="s">
        <v>7</v>
      </c>
      <c r="E584" s="4">
        <v>3</v>
      </c>
      <c r="F584" s="32">
        <v>83.62</v>
      </c>
      <c r="G584" s="32">
        <v>250.86</v>
      </c>
      <c r="H584" s="5"/>
    </row>
    <row r="585" spans="1:8" ht="15.75" x14ac:dyDescent="0.25">
      <c r="A585" s="93"/>
      <c r="B585" s="96"/>
      <c r="C585" s="30" t="s">
        <v>651</v>
      </c>
      <c r="D585" s="27" t="s">
        <v>7</v>
      </c>
      <c r="E585" s="4">
        <v>3</v>
      </c>
      <c r="F585" s="32">
        <v>187.96</v>
      </c>
      <c r="G585" s="32">
        <v>563.88</v>
      </c>
      <c r="H585" s="5"/>
    </row>
    <row r="586" spans="1:8" ht="15.75" x14ac:dyDescent="0.25">
      <c r="A586" s="93"/>
      <c r="B586" s="96"/>
      <c r="C586" s="57" t="s">
        <v>652</v>
      </c>
      <c r="D586" s="27" t="s">
        <v>7</v>
      </c>
      <c r="E586" s="34">
        <v>42</v>
      </c>
      <c r="F586" s="58">
        <v>8.32</v>
      </c>
      <c r="G586" s="58">
        <v>349.44</v>
      </c>
      <c r="H586" s="5"/>
    </row>
    <row r="587" spans="1:8" ht="15.75" x14ac:dyDescent="0.25">
      <c r="A587" s="93"/>
      <c r="B587" s="96"/>
      <c r="C587" s="57" t="s">
        <v>653</v>
      </c>
      <c r="D587" s="27" t="s">
        <v>7</v>
      </c>
      <c r="E587" s="34">
        <v>22</v>
      </c>
      <c r="F587" s="58">
        <v>10</v>
      </c>
      <c r="G587" s="58">
        <v>220</v>
      </c>
      <c r="H587" s="5"/>
    </row>
    <row r="588" spans="1:8" ht="15.75" x14ac:dyDescent="0.25">
      <c r="A588" s="93"/>
      <c r="B588" s="96"/>
      <c r="C588" s="57" t="s">
        <v>654</v>
      </c>
      <c r="D588" s="27" t="s">
        <v>7</v>
      </c>
      <c r="E588" s="34">
        <v>6</v>
      </c>
      <c r="F588" s="58">
        <v>20</v>
      </c>
      <c r="G588" s="58">
        <v>120</v>
      </c>
      <c r="H588" s="5"/>
    </row>
    <row r="589" spans="1:8" ht="15.75" x14ac:dyDescent="0.25">
      <c r="A589" s="93"/>
      <c r="B589" s="96"/>
      <c r="C589" s="57" t="s">
        <v>655</v>
      </c>
      <c r="D589" s="27" t="s">
        <v>7</v>
      </c>
      <c r="E589" s="34">
        <v>4</v>
      </c>
      <c r="F589" s="58">
        <v>30</v>
      </c>
      <c r="G589" s="58">
        <v>120</v>
      </c>
      <c r="H589" s="5"/>
    </row>
    <row r="590" spans="1:8" ht="15.75" x14ac:dyDescent="0.25">
      <c r="A590" s="93"/>
      <c r="B590" s="96"/>
      <c r="C590" s="57" t="s">
        <v>656</v>
      </c>
      <c r="D590" s="27" t="s">
        <v>7</v>
      </c>
      <c r="E590" s="34">
        <v>1</v>
      </c>
      <c r="F590" s="58">
        <v>31</v>
      </c>
      <c r="G590" s="58">
        <v>31</v>
      </c>
      <c r="H590" s="5"/>
    </row>
    <row r="591" spans="1:8" ht="15.75" x14ac:dyDescent="0.25">
      <c r="A591" s="93"/>
      <c r="B591" s="96"/>
      <c r="C591" s="57" t="s">
        <v>657</v>
      </c>
      <c r="D591" s="27" t="s">
        <v>7</v>
      </c>
      <c r="E591" s="34">
        <v>12</v>
      </c>
      <c r="F591" s="58">
        <v>10</v>
      </c>
      <c r="G591" s="58">
        <v>120</v>
      </c>
      <c r="H591" s="5"/>
    </row>
    <row r="592" spans="1:8" ht="15.75" x14ac:dyDescent="0.25">
      <c r="A592" s="93"/>
      <c r="B592" s="96"/>
      <c r="C592" s="57" t="s">
        <v>658</v>
      </c>
      <c r="D592" s="27" t="s">
        <v>7</v>
      </c>
      <c r="E592" s="34">
        <v>3</v>
      </c>
      <c r="F592" s="58">
        <v>30</v>
      </c>
      <c r="G592" s="58">
        <v>90</v>
      </c>
      <c r="H592" s="5"/>
    </row>
    <row r="593" spans="1:8" ht="15.75" x14ac:dyDescent="0.25">
      <c r="A593" s="93"/>
      <c r="B593" s="96"/>
      <c r="C593" s="57" t="s">
        <v>659</v>
      </c>
      <c r="D593" s="27" t="s">
        <v>7</v>
      </c>
      <c r="E593" s="34">
        <v>1</v>
      </c>
      <c r="F593" s="58">
        <v>100</v>
      </c>
      <c r="G593" s="58">
        <v>100</v>
      </c>
      <c r="H593" s="5"/>
    </row>
    <row r="594" spans="1:8" ht="15.75" x14ac:dyDescent="0.25">
      <c r="A594" s="93"/>
      <c r="B594" s="96"/>
      <c r="C594" s="57" t="s">
        <v>636</v>
      </c>
      <c r="D594" s="27" t="s">
        <v>7</v>
      </c>
      <c r="E594" s="34">
        <v>4</v>
      </c>
      <c r="F594" s="58">
        <v>50</v>
      </c>
      <c r="G594" s="58">
        <v>200</v>
      </c>
      <c r="H594" s="5"/>
    </row>
    <row r="595" spans="1:8" ht="15.75" x14ac:dyDescent="0.25">
      <c r="A595" s="93"/>
      <c r="B595" s="96"/>
      <c r="C595" s="57" t="s">
        <v>660</v>
      </c>
      <c r="D595" s="27" t="s">
        <v>7</v>
      </c>
      <c r="E595" s="34">
        <v>12</v>
      </c>
      <c r="F595" s="58">
        <v>15</v>
      </c>
      <c r="G595" s="58">
        <v>180</v>
      </c>
      <c r="H595" s="5"/>
    </row>
    <row r="596" spans="1:8" ht="15.75" x14ac:dyDescent="0.25">
      <c r="A596" s="93"/>
      <c r="B596" s="96"/>
      <c r="C596" s="57" t="s">
        <v>661</v>
      </c>
      <c r="D596" s="27" t="s">
        <v>7</v>
      </c>
      <c r="E596" s="34">
        <v>22</v>
      </c>
      <c r="F596" s="58">
        <v>10</v>
      </c>
      <c r="G596" s="58">
        <v>220</v>
      </c>
      <c r="H596" s="5"/>
    </row>
    <row r="597" spans="1:8" ht="15.75" x14ac:dyDescent="0.25">
      <c r="A597" s="93"/>
      <c r="B597" s="96"/>
      <c r="C597" s="57" t="s">
        <v>16</v>
      </c>
      <c r="D597" s="27" t="s">
        <v>163</v>
      </c>
      <c r="E597" s="34">
        <v>1</v>
      </c>
      <c r="F597" s="58">
        <v>200</v>
      </c>
      <c r="G597" s="58">
        <v>200</v>
      </c>
      <c r="H597" s="5"/>
    </row>
    <row r="598" spans="1:8" ht="15.75" x14ac:dyDescent="0.25">
      <c r="A598" s="93"/>
      <c r="B598" s="96"/>
      <c r="C598" s="57" t="s">
        <v>662</v>
      </c>
      <c r="D598" s="27" t="s">
        <v>7</v>
      </c>
      <c r="E598" s="34">
        <v>7</v>
      </c>
      <c r="F598" s="58">
        <v>20</v>
      </c>
      <c r="G598" s="58">
        <v>140</v>
      </c>
      <c r="H598" s="5"/>
    </row>
    <row r="599" spans="1:8" ht="15.75" x14ac:dyDescent="0.25">
      <c r="A599" s="93"/>
      <c r="B599" s="96"/>
      <c r="C599" s="57" t="s">
        <v>663</v>
      </c>
      <c r="D599" s="27" t="s">
        <v>163</v>
      </c>
      <c r="E599" s="34">
        <v>2</v>
      </c>
      <c r="F599" s="58">
        <v>30</v>
      </c>
      <c r="G599" s="58">
        <v>60</v>
      </c>
      <c r="H599" s="5"/>
    </row>
    <row r="600" spans="1:8" ht="15.75" x14ac:dyDescent="0.25">
      <c r="A600" s="93"/>
      <c r="B600" s="96"/>
      <c r="C600" s="57" t="s">
        <v>14</v>
      </c>
      <c r="D600" s="27" t="s">
        <v>163</v>
      </c>
      <c r="E600" s="34">
        <v>7</v>
      </c>
      <c r="F600" s="58">
        <v>30</v>
      </c>
      <c r="G600" s="58">
        <v>210</v>
      </c>
      <c r="H600" s="5"/>
    </row>
    <row r="601" spans="1:8" ht="15.75" x14ac:dyDescent="0.25">
      <c r="A601" s="93"/>
      <c r="B601" s="96"/>
      <c r="C601" s="57" t="s">
        <v>664</v>
      </c>
      <c r="D601" s="27" t="s">
        <v>163</v>
      </c>
      <c r="E601" s="34">
        <v>10</v>
      </c>
      <c r="F601" s="58">
        <f>G601/E601</f>
        <v>173.67699999999999</v>
      </c>
      <c r="G601" s="58">
        <f>847.95+524.82+364</f>
        <v>1736.77</v>
      </c>
      <c r="H601" s="5"/>
    </row>
    <row r="602" spans="1:8" ht="15.75" x14ac:dyDescent="0.25">
      <c r="A602" s="93"/>
      <c r="B602" s="96"/>
      <c r="C602" s="57" t="s">
        <v>539</v>
      </c>
      <c r="D602" s="27" t="s">
        <v>7</v>
      </c>
      <c r="E602" s="34">
        <v>10</v>
      </c>
      <c r="F602" s="58">
        <v>682.65</v>
      </c>
      <c r="G602" s="58">
        <v>6826.5</v>
      </c>
      <c r="H602" s="5"/>
    </row>
    <row r="603" spans="1:8" ht="15.75" x14ac:dyDescent="0.25">
      <c r="A603" s="93"/>
      <c r="B603" s="96"/>
      <c r="C603" s="57" t="s">
        <v>65</v>
      </c>
      <c r="D603" s="27" t="s">
        <v>7</v>
      </c>
      <c r="E603" s="34">
        <v>1</v>
      </c>
      <c r="F603" s="58">
        <v>6529.45</v>
      </c>
      <c r="G603" s="58">
        <v>6529.45</v>
      </c>
      <c r="H603" s="5"/>
    </row>
    <row r="604" spans="1:8" ht="15.75" x14ac:dyDescent="0.25">
      <c r="A604" s="93"/>
      <c r="B604" s="96"/>
      <c r="C604" s="57" t="s">
        <v>666</v>
      </c>
      <c r="D604" s="27" t="s">
        <v>7</v>
      </c>
      <c r="E604" s="34">
        <v>8</v>
      </c>
      <c r="F604" s="58">
        <v>164.65</v>
      </c>
      <c r="G604" s="58">
        <v>1317.2</v>
      </c>
      <c r="H604" s="5"/>
    </row>
    <row r="605" spans="1:8" ht="15.75" x14ac:dyDescent="0.25">
      <c r="A605" s="93"/>
      <c r="B605" s="96"/>
      <c r="C605" s="57" t="s">
        <v>668</v>
      </c>
      <c r="D605" s="27" t="s">
        <v>7</v>
      </c>
      <c r="E605" s="34">
        <v>4</v>
      </c>
      <c r="F605" s="58">
        <v>190.92</v>
      </c>
      <c r="G605" s="58">
        <v>763.68</v>
      </c>
      <c r="H605" s="5"/>
    </row>
    <row r="606" spans="1:8" ht="15.75" x14ac:dyDescent="0.25">
      <c r="A606" s="93"/>
      <c r="B606" s="96"/>
      <c r="C606" s="30" t="s">
        <v>669</v>
      </c>
      <c r="D606" s="27" t="s">
        <v>7</v>
      </c>
      <c r="E606" s="4">
        <v>10</v>
      </c>
      <c r="F606" s="32">
        <v>955</v>
      </c>
      <c r="G606" s="32">
        <v>9550</v>
      </c>
      <c r="H606" s="5"/>
    </row>
    <row r="607" spans="1:8" ht="15.75" x14ac:dyDescent="0.25">
      <c r="A607" s="94"/>
      <c r="B607" s="97"/>
      <c r="C607" s="30" t="s">
        <v>667</v>
      </c>
      <c r="D607" s="27" t="s">
        <v>7</v>
      </c>
      <c r="E607" s="4">
        <v>5</v>
      </c>
      <c r="F607" s="32">
        <v>255.67</v>
      </c>
      <c r="G607" s="32">
        <v>1278.3499999999999</v>
      </c>
      <c r="H607" s="5"/>
    </row>
    <row r="608" spans="1:8" ht="25.5" x14ac:dyDescent="0.25">
      <c r="A608" s="40"/>
      <c r="B608" s="98"/>
      <c r="C608" s="8" t="s">
        <v>9</v>
      </c>
      <c r="D608" s="7"/>
      <c r="E608" s="9"/>
      <c r="F608" s="61"/>
      <c r="G608" s="61">
        <f>SUM(G582:G607)</f>
        <v>58305.53</v>
      </c>
      <c r="H608" s="8">
        <f>SUM(H582:H582)</f>
        <v>0</v>
      </c>
    </row>
    <row r="609" spans="1:8" ht="15.75" x14ac:dyDescent="0.25">
      <c r="A609" s="92">
        <v>21</v>
      </c>
      <c r="B609" s="95" t="s">
        <v>70</v>
      </c>
      <c r="C609" s="30" t="s">
        <v>347</v>
      </c>
      <c r="D609" s="27" t="s">
        <v>7</v>
      </c>
      <c r="E609" s="4">
        <v>8</v>
      </c>
      <c r="F609" s="32">
        <v>8876.2999999999993</v>
      </c>
      <c r="G609" s="32">
        <v>71010.399999999994</v>
      </c>
      <c r="H609" s="5" t="s">
        <v>397</v>
      </c>
    </row>
    <row r="610" spans="1:8" ht="15.75" x14ac:dyDescent="0.25">
      <c r="A610" s="93"/>
      <c r="B610" s="96"/>
      <c r="C610" s="30" t="s">
        <v>649</v>
      </c>
      <c r="D610" s="27" t="s">
        <v>7</v>
      </c>
      <c r="E610" s="4">
        <v>8</v>
      </c>
      <c r="F610" s="32">
        <v>166.05</v>
      </c>
      <c r="G610" s="32">
        <v>1332</v>
      </c>
      <c r="H610" s="5"/>
    </row>
    <row r="611" spans="1:8" ht="15.75" x14ac:dyDescent="0.25">
      <c r="A611" s="93"/>
      <c r="B611" s="96"/>
      <c r="C611" s="30" t="s">
        <v>650</v>
      </c>
      <c r="D611" s="27" t="s">
        <v>7</v>
      </c>
      <c r="E611" s="4">
        <v>8</v>
      </c>
      <c r="F611" s="32">
        <v>83.62</v>
      </c>
      <c r="G611" s="32">
        <v>668.96</v>
      </c>
      <c r="H611" s="5"/>
    </row>
    <row r="612" spans="1:8" ht="15.75" x14ac:dyDescent="0.25">
      <c r="A612" s="93"/>
      <c r="B612" s="96"/>
      <c r="C612" s="30" t="s">
        <v>651</v>
      </c>
      <c r="D612" s="27" t="s">
        <v>7</v>
      </c>
      <c r="E612" s="4">
        <v>8</v>
      </c>
      <c r="F612" s="32">
        <v>187.96</v>
      </c>
      <c r="G612" s="32">
        <v>1503.68</v>
      </c>
      <c r="H612" s="5"/>
    </row>
    <row r="613" spans="1:8" ht="15.75" x14ac:dyDescent="0.25">
      <c r="A613" s="93"/>
      <c r="B613" s="96"/>
      <c r="C613" s="57" t="s">
        <v>652</v>
      </c>
      <c r="D613" s="27" t="s">
        <v>7</v>
      </c>
      <c r="E613" s="34">
        <v>24</v>
      </c>
      <c r="F613" s="58">
        <v>8.32</v>
      </c>
      <c r="G613" s="58">
        <v>199.68</v>
      </c>
      <c r="H613" s="5"/>
    </row>
    <row r="614" spans="1:8" ht="15.75" x14ac:dyDescent="0.25">
      <c r="A614" s="93"/>
      <c r="B614" s="96"/>
      <c r="C614" s="57" t="s">
        <v>653</v>
      </c>
      <c r="D614" s="27" t="s">
        <v>7</v>
      </c>
      <c r="E614" s="34">
        <v>23</v>
      </c>
      <c r="F614" s="58">
        <v>10</v>
      </c>
      <c r="G614" s="58">
        <v>230</v>
      </c>
      <c r="H614" s="5"/>
    </row>
    <row r="615" spans="1:8" ht="15.75" x14ac:dyDescent="0.25">
      <c r="A615" s="93"/>
      <c r="B615" s="96"/>
      <c r="C615" s="57" t="s">
        <v>654</v>
      </c>
      <c r="D615" s="27" t="s">
        <v>7</v>
      </c>
      <c r="E615" s="34">
        <v>6</v>
      </c>
      <c r="F615" s="58">
        <v>20</v>
      </c>
      <c r="G615" s="58">
        <v>120</v>
      </c>
      <c r="H615" s="5"/>
    </row>
    <row r="616" spans="1:8" ht="15.75" x14ac:dyDescent="0.25">
      <c r="A616" s="93"/>
      <c r="B616" s="96"/>
      <c r="C616" s="57" t="s">
        <v>655</v>
      </c>
      <c r="D616" s="27" t="s">
        <v>7</v>
      </c>
      <c r="E616" s="34">
        <v>4</v>
      </c>
      <c r="F616" s="58">
        <v>30</v>
      </c>
      <c r="G616" s="58">
        <v>120</v>
      </c>
      <c r="H616" s="5"/>
    </row>
    <row r="617" spans="1:8" ht="15.75" x14ac:dyDescent="0.25">
      <c r="A617" s="93"/>
      <c r="B617" s="96"/>
      <c r="C617" s="57" t="s">
        <v>656</v>
      </c>
      <c r="D617" s="27" t="s">
        <v>7</v>
      </c>
      <c r="E617" s="34">
        <v>1</v>
      </c>
      <c r="F617" s="58">
        <v>31</v>
      </c>
      <c r="G617" s="58">
        <v>31</v>
      </c>
      <c r="H617" s="5"/>
    </row>
    <row r="618" spans="1:8" ht="15.75" x14ac:dyDescent="0.25">
      <c r="A618" s="93"/>
      <c r="B618" s="96"/>
      <c r="C618" s="57" t="s">
        <v>657</v>
      </c>
      <c r="D618" s="27" t="s">
        <v>7</v>
      </c>
      <c r="E618" s="34">
        <v>14</v>
      </c>
      <c r="F618" s="58">
        <v>10</v>
      </c>
      <c r="G618" s="58">
        <v>140</v>
      </c>
      <c r="H618" s="5"/>
    </row>
    <row r="619" spans="1:8" ht="15.75" x14ac:dyDescent="0.25">
      <c r="A619" s="93"/>
      <c r="B619" s="96"/>
      <c r="C619" s="57" t="s">
        <v>658</v>
      </c>
      <c r="D619" s="27" t="s">
        <v>7</v>
      </c>
      <c r="E619" s="34">
        <v>3</v>
      </c>
      <c r="F619" s="58">
        <v>30</v>
      </c>
      <c r="G619" s="58">
        <v>90</v>
      </c>
      <c r="H619" s="5"/>
    </row>
    <row r="620" spans="1:8" ht="15.75" x14ac:dyDescent="0.25">
      <c r="A620" s="93"/>
      <c r="B620" s="96"/>
      <c r="C620" s="57" t="s">
        <v>659</v>
      </c>
      <c r="D620" s="27" t="s">
        <v>7</v>
      </c>
      <c r="E620" s="34">
        <v>2</v>
      </c>
      <c r="F620" s="58">
        <v>100</v>
      </c>
      <c r="G620" s="58">
        <v>200</v>
      </c>
      <c r="H620" s="5"/>
    </row>
    <row r="621" spans="1:8" ht="15.75" x14ac:dyDescent="0.25">
      <c r="A621" s="93"/>
      <c r="B621" s="96"/>
      <c r="C621" s="57" t="s">
        <v>636</v>
      </c>
      <c r="D621" s="27" t="s">
        <v>7</v>
      </c>
      <c r="E621" s="34">
        <v>3</v>
      </c>
      <c r="F621" s="58">
        <v>50</v>
      </c>
      <c r="G621" s="58">
        <v>150</v>
      </c>
      <c r="H621" s="5"/>
    </row>
    <row r="622" spans="1:8" ht="15.75" x14ac:dyDescent="0.25">
      <c r="A622" s="93"/>
      <c r="B622" s="96"/>
      <c r="C622" s="57" t="s">
        <v>660</v>
      </c>
      <c r="D622" s="27" t="s">
        <v>7</v>
      </c>
      <c r="E622" s="34">
        <v>14</v>
      </c>
      <c r="F622" s="58">
        <v>15</v>
      </c>
      <c r="G622" s="58">
        <v>210</v>
      </c>
      <c r="H622" s="5"/>
    </row>
    <row r="623" spans="1:8" ht="15.75" x14ac:dyDescent="0.25">
      <c r="A623" s="93"/>
      <c r="B623" s="96"/>
      <c r="C623" s="57" t="s">
        <v>661</v>
      </c>
      <c r="D623" s="27" t="s">
        <v>7</v>
      </c>
      <c r="E623" s="34">
        <v>22</v>
      </c>
      <c r="F623" s="58">
        <v>10</v>
      </c>
      <c r="G623" s="58">
        <v>220</v>
      </c>
      <c r="H623" s="5"/>
    </row>
    <row r="624" spans="1:8" ht="15.75" x14ac:dyDescent="0.25">
      <c r="A624" s="93"/>
      <c r="B624" s="96"/>
      <c r="C624" s="57" t="s">
        <v>16</v>
      </c>
      <c r="D624" s="27" t="s">
        <v>163</v>
      </c>
      <c r="E624" s="34">
        <v>2</v>
      </c>
      <c r="F624" s="58">
        <v>200</v>
      </c>
      <c r="G624" s="58">
        <v>400</v>
      </c>
      <c r="H624" s="5"/>
    </row>
    <row r="625" spans="1:8" ht="15.75" x14ac:dyDescent="0.25">
      <c r="A625" s="93"/>
      <c r="B625" s="96"/>
      <c r="C625" s="57" t="s">
        <v>662</v>
      </c>
      <c r="D625" s="27" t="s">
        <v>7</v>
      </c>
      <c r="E625" s="34">
        <v>7</v>
      </c>
      <c r="F625" s="58">
        <v>20</v>
      </c>
      <c r="G625" s="58">
        <v>140</v>
      </c>
      <c r="H625" s="5"/>
    </row>
    <row r="626" spans="1:8" ht="15.75" x14ac:dyDescent="0.25">
      <c r="A626" s="93"/>
      <c r="B626" s="96"/>
      <c r="C626" s="57" t="s">
        <v>663</v>
      </c>
      <c r="D626" s="27" t="s">
        <v>163</v>
      </c>
      <c r="E626" s="34">
        <v>2</v>
      </c>
      <c r="F626" s="58">
        <v>30</v>
      </c>
      <c r="G626" s="58">
        <v>60</v>
      </c>
      <c r="H626" s="5"/>
    </row>
    <row r="627" spans="1:8" ht="15.75" x14ac:dyDescent="0.25">
      <c r="A627" s="93"/>
      <c r="B627" s="96"/>
      <c r="C627" s="57" t="s">
        <v>14</v>
      </c>
      <c r="D627" s="27" t="s">
        <v>163</v>
      </c>
      <c r="E627" s="34">
        <v>7</v>
      </c>
      <c r="F627" s="58">
        <v>30</v>
      </c>
      <c r="G627" s="58">
        <v>210</v>
      </c>
      <c r="H627" s="5"/>
    </row>
    <row r="628" spans="1:8" ht="15.75" x14ac:dyDescent="0.25">
      <c r="A628" s="93"/>
      <c r="B628" s="96"/>
      <c r="C628" s="57" t="s">
        <v>664</v>
      </c>
      <c r="D628" s="27" t="s">
        <v>163</v>
      </c>
      <c r="E628" s="34">
        <v>10</v>
      </c>
      <c r="F628" s="58">
        <f>G628/E628</f>
        <v>173.67699999999999</v>
      </c>
      <c r="G628" s="58">
        <f>847.95+524.82+364</f>
        <v>1736.77</v>
      </c>
      <c r="H628" s="5"/>
    </row>
    <row r="629" spans="1:8" ht="15.75" x14ac:dyDescent="0.25">
      <c r="A629" s="93"/>
      <c r="B629" s="96"/>
      <c r="C629" s="57" t="s">
        <v>539</v>
      </c>
      <c r="D629" s="27" t="s">
        <v>7</v>
      </c>
      <c r="E629" s="34">
        <v>10</v>
      </c>
      <c r="F629" s="58">
        <v>682.65</v>
      </c>
      <c r="G629" s="58">
        <v>6826.5</v>
      </c>
      <c r="H629" s="5"/>
    </row>
    <row r="630" spans="1:8" ht="15.75" x14ac:dyDescent="0.25">
      <c r="A630" s="93"/>
      <c r="B630" s="96"/>
      <c r="C630" s="57" t="s">
        <v>65</v>
      </c>
      <c r="D630" s="27" t="s">
        <v>7</v>
      </c>
      <c r="E630" s="34">
        <v>1</v>
      </c>
      <c r="F630" s="58">
        <v>6529.45</v>
      </c>
      <c r="G630" s="58">
        <v>6529.45</v>
      </c>
      <c r="H630" s="5"/>
    </row>
    <row r="631" spans="1:8" ht="15.75" x14ac:dyDescent="0.25">
      <c r="A631" s="93"/>
      <c r="B631" s="96"/>
      <c r="C631" s="57" t="s">
        <v>666</v>
      </c>
      <c r="D631" s="27" t="s">
        <v>7</v>
      </c>
      <c r="E631" s="34">
        <v>8</v>
      </c>
      <c r="F631" s="58">
        <v>164.65</v>
      </c>
      <c r="G631" s="58">
        <v>1317.2</v>
      </c>
      <c r="H631" s="5"/>
    </row>
    <row r="632" spans="1:8" ht="15.75" x14ac:dyDescent="0.25">
      <c r="A632" s="93"/>
      <c r="B632" s="96"/>
      <c r="C632" s="57" t="s">
        <v>668</v>
      </c>
      <c r="D632" s="27" t="s">
        <v>7</v>
      </c>
      <c r="E632" s="34">
        <v>5</v>
      </c>
      <c r="F632" s="58">
        <v>190.92</v>
      </c>
      <c r="G632" s="58">
        <v>954.6</v>
      </c>
      <c r="H632" s="5"/>
    </row>
    <row r="633" spans="1:8" ht="15.75" x14ac:dyDescent="0.25">
      <c r="A633" s="93"/>
      <c r="B633" s="96"/>
      <c r="C633" s="30" t="s">
        <v>669</v>
      </c>
      <c r="D633" s="27" t="s">
        <v>7</v>
      </c>
      <c r="E633" s="4">
        <v>10</v>
      </c>
      <c r="F633" s="32">
        <v>955</v>
      </c>
      <c r="G633" s="32">
        <v>9550</v>
      </c>
      <c r="H633" s="5"/>
    </row>
    <row r="634" spans="1:8" ht="15.75" x14ac:dyDescent="0.25">
      <c r="A634" s="94"/>
      <c r="B634" s="97"/>
      <c r="C634" s="30" t="s">
        <v>667</v>
      </c>
      <c r="D634" s="27" t="s">
        <v>7</v>
      </c>
      <c r="E634" s="4">
        <v>5</v>
      </c>
      <c r="F634" s="32">
        <v>255.67</v>
      </c>
      <c r="G634" s="32">
        <v>1278.3499999999999</v>
      </c>
      <c r="H634" s="5"/>
    </row>
    <row r="635" spans="1:8" ht="25.5" x14ac:dyDescent="0.25">
      <c r="A635" s="40"/>
      <c r="B635" s="98"/>
      <c r="C635" s="8" t="s">
        <v>9</v>
      </c>
      <c r="D635" s="7"/>
      <c r="E635" s="9"/>
      <c r="F635" s="61"/>
      <c r="G635" s="61">
        <f>SUM(G609:G634)</f>
        <v>105228.59</v>
      </c>
      <c r="H635" s="8">
        <f>SUM(H609:H634)</f>
        <v>0</v>
      </c>
    </row>
    <row r="636" spans="1:8" ht="15.75" x14ac:dyDescent="0.25">
      <c r="A636" s="82">
        <v>22</v>
      </c>
      <c r="B636" s="88" t="s">
        <v>42</v>
      </c>
      <c r="C636" s="57" t="s">
        <v>652</v>
      </c>
      <c r="D636" s="27" t="s">
        <v>7</v>
      </c>
      <c r="E636" s="34">
        <v>42</v>
      </c>
      <c r="F636" s="58">
        <v>8.32</v>
      </c>
      <c r="G636" s="58">
        <v>349.44</v>
      </c>
      <c r="H636" s="5" t="s">
        <v>397</v>
      </c>
    </row>
    <row r="637" spans="1:8" ht="15.75" x14ac:dyDescent="0.25">
      <c r="A637" s="87"/>
      <c r="B637" s="89"/>
      <c r="C637" s="30" t="s">
        <v>347</v>
      </c>
      <c r="D637" s="27" t="s">
        <v>7</v>
      </c>
      <c r="E637" s="4">
        <v>6</v>
      </c>
      <c r="F637" s="32">
        <v>8876.2999999999993</v>
      </c>
      <c r="G637" s="32">
        <v>53257.8</v>
      </c>
      <c r="H637" s="5" t="s">
        <v>397</v>
      </c>
    </row>
    <row r="638" spans="1:8" ht="15.75" x14ac:dyDescent="0.25">
      <c r="A638" s="87"/>
      <c r="B638" s="89"/>
      <c r="C638" s="30" t="s">
        <v>649</v>
      </c>
      <c r="D638" s="27" t="s">
        <v>7</v>
      </c>
      <c r="E638" s="4">
        <v>6</v>
      </c>
      <c r="F638" s="32">
        <v>166.05</v>
      </c>
      <c r="G638" s="32">
        <v>999</v>
      </c>
      <c r="H638" s="5" t="s">
        <v>397</v>
      </c>
    </row>
    <row r="639" spans="1:8" ht="15.75" x14ac:dyDescent="0.25">
      <c r="A639" s="87"/>
      <c r="B639" s="89"/>
      <c r="C639" s="30" t="s">
        <v>650</v>
      </c>
      <c r="D639" s="27" t="s">
        <v>7</v>
      </c>
      <c r="E639" s="4">
        <v>6</v>
      </c>
      <c r="F639" s="32">
        <v>83.62</v>
      </c>
      <c r="G639" s="32">
        <v>501.72</v>
      </c>
      <c r="H639" s="5" t="s">
        <v>397</v>
      </c>
    </row>
    <row r="640" spans="1:8" ht="15.75" x14ac:dyDescent="0.25">
      <c r="A640" s="87"/>
      <c r="B640" s="89"/>
      <c r="C640" s="30" t="s">
        <v>651</v>
      </c>
      <c r="D640" s="27" t="s">
        <v>7</v>
      </c>
      <c r="E640" s="4">
        <v>6</v>
      </c>
      <c r="F640" s="32">
        <v>187.96</v>
      </c>
      <c r="G640" s="32">
        <v>1127.76</v>
      </c>
      <c r="H640" s="5" t="s">
        <v>397</v>
      </c>
    </row>
    <row r="641" spans="1:8" ht="15.75" x14ac:dyDescent="0.25">
      <c r="A641" s="87"/>
      <c r="B641" s="89"/>
      <c r="C641" s="57" t="s">
        <v>653</v>
      </c>
      <c r="D641" s="27" t="s">
        <v>7</v>
      </c>
      <c r="E641" s="34">
        <v>23</v>
      </c>
      <c r="F641" s="58">
        <v>10</v>
      </c>
      <c r="G641" s="32">
        <v>230</v>
      </c>
      <c r="H641" s="5"/>
    </row>
    <row r="642" spans="1:8" ht="15.75" x14ac:dyDescent="0.25">
      <c r="A642" s="87"/>
      <c r="B642" s="89"/>
      <c r="C642" s="57" t="s">
        <v>654</v>
      </c>
      <c r="D642" s="27" t="s">
        <v>7</v>
      </c>
      <c r="E642" s="34">
        <v>6</v>
      </c>
      <c r="F642" s="58">
        <v>20</v>
      </c>
      <c r="G642" s="32">
        <v>120</v>
      </c>
      <c r="H642" s="5"/>
    </row>
    <row r="643" spans="1:8" ht="15.75" x14ac:dyDescent="0.25">
      <c r="A643" s="87"/>
      <c r="B643" s="89"/>
      <c r="C643" s="57" t="s">
        <v>655</v>
      </c>
      <c r="D643" s="27" t="s">
        <v>7</v>
      </c>
      <c r="E643" s="34">
        <v>4</v>
      </c>
      <c r="F643" s="58">
        <v>30</v>
      </c>
      <c r="G643" s="32">
        <v>120</v>
      </c>
      <c r="H643" s="5"/>
    </row>
    <row r="644" spans="1:8" ht="15.75" x14ac:dyDescent="0.25">
      <c r="A644" s="87"/>
      <c r="B644" s="89"/>
      <c r="C644" s="57" t="s">
        <v>656</v>
      </c>
      <c r="D644" s="27" t="s">
        <v>7</v>
      </c>
      <c r="E644" s="34">
        <v>1</v>
      </c>
      <c r="F644" s="58">
        <v>31</v>
      </c>
      <c r="G644" s="32">
        <v>31</v>
      </c>
      <c r="H644" s="5"/>
    </row>
    <row r="645" spans="1:8" ht="15.75" x14ac:dyDescent="0.25">
      <c r="A645" s="87"/>
      <c r="B645" s="89"/>
      <c r="C645" s="57" t="s">
        <v>657</v>
      </c>
      <c r="D645" s="27" t="s">
        <v>7</v>
      </c>
      <c r="E645" s="34">
        <v>12</v>
      </c>
      <c r="F645" s="58">
        <v>10</v>
      </c>
      <c r="G645" s="32">
        <v>120</v>
      </c>
      <c r="H645" s="5"/>
    </row>
    <row r="646" spans="1:8" ht="15.75" x14ac:dyDescent="0.25">
      <c r="A646" s="87"/>
      <c r="B646" s="89"/>
      <c r="C646" s="57" t="s">
        <v>658</v>
      </c>
      <c r="D646" s="27" t="s">
        <v>7</v>
      </c>
      <c r="E646" s="34">
        <v>3</v>
      </c>
      <c r="F646" s="58">
        <v>30</v>
      </c>
      <c r="G646" s="32">
        <v>90</v>
      </c>
      <c r="H646" s="5"/>
    </row>
    <row r="647" spans="1:8" ht="15.75" x14ac:dyDescent="0.25">
      <c r="A647" s="87"/>
      <c r="B647" s="89"/>
      <c r="C647" s="57" t="s">
        <v>659</v>
      </c>
      <c r="D647" s="27" t="s">
        <v>7</v>
      </c>
      <c r="E647" s="34">
        <v>2</v>
      </c>
      <c r="F647" s="58">
        <v>100</v>
      </c>
      <c r="G647" s="32">
        <v>200</v>
      </c>
      <c r="H647" s="5"/>
    </row>
    <row r="648" spans="1:8" ht="15.75" x14ac:dyDescent="0.25">
      <c r="A648" s="87"/>
      <c r="B648" s="89"/>
      <c r="C648" s="57" t="s">
        <v>636</v>
      </c>
      <c r="D648" s="27" t="s">
        <v>7</v>
      </c>
      <c r="E648" s="34">
        <v>3</v>
      </c>
      <c r="F648" s="58">
        <v>50</v>
      </c>
      <c r="G648" s="32">
        <v>150</v>
      </c>
      <c r="H648" s="5"/>
    </row>
    <row r="649" spans="1:8" ht="15.75" x14ac:dyDescent="0.25">
      <c r="A649" s="87"/>
      <c r="B649" s="89"/>
      <c r="C649" s="57" t="s">
        <v>660</v>
      </c>
      <c r="D649" s="27" t="s">
        <v>7</v>
      </c>
      <c r="E649" s="34">
        <v>12</v>
      </c>
      <c r="F649" s="58">
        <v>15</v>
      </c>
      <c r="G649" s="32">
        <v>180</v>
      </c>
      <c r="H649" s="5"/>
    </row>
    <row r="650" spans="1:8" ht="15.75" x14ac:dyDescent="0.25">
      <c r="A650" s="87"/>
      <c r="B650" s="89"/>
      <c r="C650" s="57" t="s">
        <v>661</v>
      </c>
      <c r="D650" s="27" t="s">
        <v>7</v>
      </c>
      <c r="E650" s="34">
        <v>22</v>
      </c>
      <c r="F650" s="58">
        <v>10</v>
      </c>
      <c r="G650" s="32">
        <v>220</v>
      </c>
      <c r="H650" s="5"/>
    </row>
    <row r="651" spans="1:8" ht="15.75" x14ac:dyDescent="0.25">
      <c r="A651" s="87"/>
      <c r="B651" s="89"/>
      <c r="C651" s="57" t="s">
        <v>16</v>
      </c>
      <c r="D651" s="27" t="s">
        <v>163</v>
      </c>
      <c r="E651" s="34">
        <v>2</v>
      </c>
      <c r="F651" s="58">
        <v>200</v>
      </c>
      <c r="G651" s="32">
        <v>400</v>
      </c>
      <c r="H651" s="5"/>
    </row>
    <row r="652" spans="1:8" ht="15.75" x14ac:dyDescent="0.25">
      <c r="A652" s="87"/>
      <c r="B652" s="89"/>
      <c r="C652" s="57" t="s">
        <v>662</v>
      </c>
      <c r="D652" s="27" t="s">
        <v>7</v>
      </c>
      <c r="E652" s="34">
        <v>7</v>
      </c>
      <c r="F652" s="58">
        <v>20</v>
      </c>
      <c r="G652" s="32">
        <v>140</v>
      </c>
      <c r="H652" s="5"/>
    </row>
    <row r="653" spans="1:8" ht="15.75" x14ac:dyDescent="0.25">
      <c r="A653" s="87"/>
      <c r="B653" s="89"/>
      <c r="C653" s="57" t="s">
        <v>663</v>
      </c>
      <c r="D653" s="27" t="s">
        <v>163</v>
      </c>
      <c r="E653" s="34">
        <v>2</v>
      </c>
      <c r="F653" s="58">
        <v>30</v>
      </c>
      <c r="G653" s="32">
        <v>60</v>
      </c>
      <c r="H653" s="5"/>
    </row>
    <row r="654" spans="1:8" ht="15.75" x14ac:dyDescent="0.25">
      <c r="A654" s="87"/>
      <c r="B654" s="89"/>
      <c r="C654" s="57" t="s">
        <v>14</v>
      </c>
      <c r="D654" s="27" t="s">
        <v>163</v>
      </c>
      <c r="E654" s="34">
        <v>7</v>
      </c>
      <c r="F654" s="58">
        <v>30</v>
      </c>
      <c r="G654" s="32">
        <v>210</v>
      </c>
      <c r="H654" s="5"/>
    </row>
    <row r="655" spans="1:8" ht="15.75" x14ac:dyDescent="0.25">
      <c r="A655" s="87"/>
      <c r="B655" s="89"/>
      <c r="C655" s="57" t="s">
        <v>664</v>
      </c>
      <c r="D655" s="27" t="s">
        <v>163</v>
      </c>
      <c r="E655" s="34">
        <v>10</v>
      </c>
      <c r="F655" s="58">
        <f>G655/E655</f>
        <v>173.67699999999999</v>
      </c>
      <c r="G655" s="32">
        <f>847.95+524.82+364</f>
        <v>1736.77</v>
      </c>
      <c r="H655" s="5"/>
    </row>
    <row r="656" spans="1:8" ht="15.75" x14ac:dyDescent="0.25">
      <c r="A656" s="87"/>
      <c r="B656" s="89"/>
      <c r="C656" s="57" t="s">
        <v>539</v>
      </c>
      <c r="D656" s="27" t="s">
        <v>7</v>
      </c>
      <c r="E656" s="34">
        <v>10</v>
      </c>
      <c r="F656" s="58">
        <v>682.65</v>
      </c>
      <c r="G656" s="58">
        <v>6826.5</v>
      </c>
      <c r="H656" s="5"/>
    </row>
    <row r="657" spans="1:8" ht="15.75" x14ac:dyDescent="0.25">
      <c r="A657" s="87"/>
      <c r="B657" s="89"/>
      <c r="C657" s="57" t="s">
        <v>65</v>
      </c>
      <c r="D657" s="27" t="s">
        <v>7</v>
      </c>
      <c r="E657" s="34">
        <v>1</v>
      </c>
      <c r="F657" s="58">
        <v>6529.45</v>
      </c>
      <c r="G657" s="58">
        <v>6529.45</v>
      </c>
      <c r="H657" s="5"/>
    </row>
    <row r="658" spans="1:8" x14ac:dyDescent="0.25">
      <c r="A658" s="87"/>
      <c r="B658" s="89"/>
      <c r="C658" s="6" t="s">
        <v>665</v>
      </c>
      <c r="D658" s="3" t="s">
        <v>7</v>
      </c>
      <c r="E658" s="4">
        <v>20</v>
      </c>
      <c r="F658" s="32">
        <v>175</v>
      </c>
      <c r="G658" s="32">
        <v>3500</v>
      </c>
      <c r="H658" s="5"/>
    </row>
    <row r="659" spans="1:8" ht="15.75" x14ac:dyDescent="0.25">
      <c r="A659" s="87"/>
      <c r="B659" s="89"/>
      <c r="C659" s="57" t="s">
        <v>666</v>
      </c>
      <c r="D659" s="27" t="s">
        <v>7</v>
      </c>
      <c r="E659" s="34">
        <v>8</v>
      </c>
      <c r="F659" s="58">
        <v>164.65</v>
      </c>
      <c r="G659" s="58">
        <v>1317.2</v>
      </c>
      <c r="H659" s="5"/>
    </row>
    <row r="660" spans="1:8" ht="15.75" x14ac:dyDescent="0.25">
      <c r="A660" s="87"/>
      <c r="B660" s="89"/>
      <c r="C660" s="57" t="s">
        <v>668</v>
      </c>
      <c r="D660" s="27" t="s">
        <v>7</v>
      </c>
      <c r="E660" s="34">
        <v>4</v>
      </c>
      <c r="F660" s="58">
        <v>190.92</v>
      </c>
      <c r="G660" s="58">
        <v>763.68</v>
      </c>
      <c r="H660" s="5"/>
    </row>
    <row r="661" spans="1:8" ht="15.75" x14ac:dyDescent="0.25">
      <c r="A661" s="87"/>
      <c r="B661" s="89"/>
      <c r="C661" s="30" t="s">
        <v>669</v>
      </c>
      <c r="D661" s="27" t="s">
        <v>7</v>
      </c>
      <c r="E661" s="4">
        <v>10</v>
      </c>
      <c r="F661" s="32">
        <v>955</v>
      </c>
      <c r="G661" s="32">
        <v>9550</v>
      </c>
      <c r="H661" s="5"/>
    </row>
    <row r="662" spans="1:8" ht="15.75" x14ac:dyDescent="0.25">
      <c r="A662" s="83"/>
      <c r="B662" s="90"/>
      <c r="C662" s="30" t="s">
        <v>667</v>
      </c>
      <c r="D662" s="27" t="s">
        <v>7</v>
      </c>
      <c r="E662" s="4">
        <v>5</v>
      </c>
      <c r="F662" s="32">
        <v>255.67</v>
      </c>
      <c r="G662" s="32">
        <v>1278.3499999999999</v>
      </c>
      <c r="H662" s="5"/>
    </row>
    <row r="663" spans="1:8" ht="25.5" hidden="1" x14ac:dyDescent="0.25">
      <c r="A663" s="26"/>
      <c r="B663" s="99"/>
      <c r="C663" s="6"/>
      <c r="D663" s="3"/>
      <c r="E663" s="4"/>
      <c r="F663" s="32"/>
      <c r="G663" s="32"/>
      <c r="H663" s="5"/>
    </row>
    <row r="664" spans="1:8" ht="25.5" hidden="1" x14ac:dyDescent="0.25">
      <c r="A664" s="26"/>
      <c r="B664" s="99"/>
      <c r="C664" s="6"/>
      <c r="D664" s="3"/>
      <c r="E664" s="4"/>
      <c r="F664" s="32"/>
      <c r="G664" s="32"/>
      <c r="H664" s="5"/>
    </row>
    <row r="665" spans="1:8" ht="25.5" x14ac:dyDescent="0.25">
      <c r="A665" s="40"/>
      <c r="B665" s="98"/>
      <c r="C665" s="8" t="s">
        <v>9</v>
      </c>
      <c r="D665" s="7"/>
      <c r="E665" s="9"/>
      <c r="F665" s="61"/>
      <c r="G665" s="61">
        <f>SUM(G636:G663)</f>
        <v>90008.67</v>
      </c>
      <c r="H665" s="8">
        <f>SUM(H636:H657)</f>
        <v>0</v>
      </c>
    </row>
    <row r="666" spans="1:8" ht="15.75" x14ac:dyDescent="0.25">
      <c r="A666" s="92">
        <v>23</v>
      </c>
      <c r="B666" s="95" t="s">
        <v>43</v>
      </c>
      <c r="C666" s="30" t="s">
        <v>347</v>
      </c>
      <c r="D666" s="27" t="s">
        <v>7</v>
      </c>
      <c r="E666" s="4">
        <v>1</v>
      </c>
      <c r="F666" s="32">
        <v>8876.2999999999993</v>
      </c>
      <c r="G666" s="32">
        <v>8876.2999999999993</v>
      </c>
      <c r="H666" s="5" t="s">
        <v>397</v>
      </c>
    </row>
    <row r="667" spans="1:8" ht="15.75" x14ac:dyDescent="0.25">
      <c r="A667" s="93"/>
      <c r="B667" s="96"/>
      <c r="C667" s="30" t="s">
        <v>649</v>
      </c>
      <c r="D667" s="27" t="s">
        <v>7</v>
      </c>
      <c r="E667" s="4">
        <v>1</v>
      </c>
      <c r="F667" s="32">
        <v>166.05</v>
      </c>
      <c r="G667" s="32">
        <v>166.5</v>
      </c>
      <c r="H667" s="5" t="s">
        <v>397</v>
      </c>
    </row>
    <row r="668" spans="1:8" ht="15.75" x14ac:dyDescent="0.25">
      <c r="A668" s="93"/>
      <c r="B668" s="96"/>
      <c r="C668" s="30" t="s">
        <v>650</v>
      </c>
      <c r="D668" s="27" t="s">
        <v>7</v>
      </c>
      <c r="E668" s="4">
        <v>1</v>
      </c>
      <c r="F668" s="32">
        <v>83.62</v>
      </c>
      <c r="G668" s="32">
        <v>83.62</v>
      </c>
      <c r="H668" s="5" t="s">
        <v>397</v>
      </c>
    </row>
    <row r="669" spans="1:8" s="14" customFormat="1" ht="15.75" x14ac:dyDescent="0.25">
      <c r="A669" s="93"/>
      <c r="B669" s="96"/>
      <c r="C669" s="59" t="s">
        <v>651</v>
      </c>
      <c r="D669" s="27" t="s">
        <v>7</v>
      </c>
      <c r="E669" s="13">
        <v>1</v>
      </c>
      <c r="F669" s="60">
        <v>187.96</v>
      </c>
      <c r="G669" s="60">
        <v>187.96</v>
      </c>
      <c r="H669" s="12"/>
    </row>
    <row r="670" spans="1:8" ht="15.75" x14ac:dyDescent="0.25">
      <c r="A670" s="93"/>
      <c r="B670" s="96"/>
      <c r="C670" s="57" t="s">
        <v>652</v>
      </c>
      <c r="D670" s="27" t="s">
        <v>7</v>
      </c>
      <c r="E670" s="34">
        <v>12</v>
      </c>
      <c r="F670" s="58">
        <v>8.32</v>
      </c>
      <c r="G670" s="58">
        <v>99.84</v>
      </c>
      <c r="H670" s="8"/>
    </row>
    <row r="671" spans="1:8" ht="19.5" customHeight="1" x14ac:dyDescent="0.25">
      <c r="A671" s="93"/>
      <c r="B671" s="96"/>
      <c r="C671" s="57" t="s">
        <v>653</v>
      </c>
      <c r="D671" s="27" t="s">
        <v>7</v>
      </c>
      <c r="E671" s="34">
        <v>22</v>
      </c>
      <c r="F671" s="58">
        <v>10</v>
      </c>
      <c r="G671" s="58">
        <v>220</v>
      </c>
      <c r="H671" s="8"/>
    </row>
    <row r="672" spans="1:8" ht="19.5" customHeight="1" x14ac:dyDescent="0.25">
      <c r="A672" s="93"/>
      <c r="B672" s="96"/>
      <c r="C672" s="57" t="s">
        <v>654</v>
      </c>
      <c r="D672" s="27" t="s">
        <v>7</v>
      </c>
      <c r="E672" s="34">
        <v>6</v>
      </c>
      <c r="F672" s="58">
        <v>20</v>
      </c>
      <c r="G672" s="58">
        <v>120</v>
      </c>
      <c r="H672" s="8"/>
    </row>
    <row r="673" spans="1:8" ht="19.5" customHeight="1" x14ac:dyDescent="0.25">
      <c r="A673" s="93"/>
      <c r="B673" s="96"/>
      <c r="C673" s="57" t="s">
        <v>655</v>
      </c>
      <c r="D673" s="27" t="s">
        <v>7</v>
      </c>
      <c r="E673" s="34">
        <v>4</v>
      </c>
      <c r="F673" s="58">
        <v>30</v>
      </c>
      <c r="G673" s="58">
        <v>120</v>
      </c>
      <c r="H673" s="8"/>
    </row>
    <row r="674" spans="1:8" ht="19.5" customHeight="1" x14ac:dyDescent="0.25">
      <c r="A674" s="93"/>
      <c r="B674" s="96"/>
      <c r="C674" s="57" t="s">
        <v>656</v>
      </c>
      <c r="D674" s="27" t="s">
        <v>7</v>
      </c>
      <c r="E674" s="34">
        <v>1</v>
      </c>
      <c r="F674" s="58">
        <v>31</v>
      </c>
      <c r="G674" s="58">
        <v>31</v>
      </c>
      <c r="H674" s="8"/>
    </row>
    <row r="675" spans="1:8" ht="19.5" customHeight="1" x14ac:dyDescent="0.25">
      <c r="A675" s="93"/>
      <c r="B675" s="96"/>
      <c r="C675" s="57" t="s">
        <v>657</v>
      </c>
      <c r="D675" s="27" t="s">
        <v>7</v>
      </c>
      <c r="E675" s="34">
        <v>12</v>
      </c>
      <c r="F675" s="58">
        <v>10</v>
      </c>
      <c r="G675" s="58">
        <v>120</v>
      </c>
      <c r="H675" s="8"/>
    </row>
    <row r="676" spans="1:8" ht="19.5" customHeight="1" x14ac:dyDescent="0.25">
      <c r="A676" s="93"/>
      <c r="B676" s="96"/>
      <c r="C676" s="57" t="s">
        <v>658</v>
      </c>
      <c r="D676" s="27" t="s">
        <v>7</v>
      </c>
      <c r="E676" s="34">
        <v>2</v>
      </c>
      <c r="F676" s="58">
        <v>30</v>
      </c>
      <c r="G676" s="58">
        <v>60</v>
      </c>
      <c r="H676" s="8"/>
    </row>
    <row r="677" spans="1:8" ht="19.5" customHeight="1" x14ac:dyDescent="0.25">
      <c r="A677" s="93"/>
      <c r="B677" s="96"/>
      <c r="C677" s="57" t="s">
        <v>659</v>
      </c>
      <c r="D677" s="27" t="s">
        <v>7</v>
      </c>
      <c r="E677" s="34">
        <v>1</v>
      </c>
      <c r="F677" s="58">
        <v>100</v>
      </c>
      <c r="G677" s="58">
        <v>100</v>
      </c>
      <c r="H677" s="8"/>
    </row>
    <row r="678" spans="1:8" ht="19.5" customHeight="1" x14ac:dyDescent="0.25">
      <c r="A678" s="93"/>
      <c r="B678" s="96"/>
      <c r="C678" s="57" t="s">
        <v>636</v>
      </c>
      <c r="D678" s="27" t="s">
        <v>7</v>
      </c>
      <c r="E678" s="34">
        <v>3</v>
      </c>
      <c r="F678" s="58">
        <v>50</v>
      </c>
      <c r="G678" s="58">
        <v>150</v>
      </c>
      <c r="H678" s="8"/>
    </row>
    <row r="679" spans="1:8" ht="19.5" customHeight="1" x14ac:dyDescent="0.25">
      <c r="A679" s="93"/>
      <c r="B679" s="96"/>
      <c r="C679" s="57" t="s">
        <v>660</v>
      </c>
      <c r="D679" s="27" t="s">
        <v>7</v>
      </c>
      <c r="E679" s="34">
        <v>12</v>
      </c>
      <c r="F679" s="58">
        <v>15</v>
      </c>
      <c r="G679" s="58">
        <v>180</v>
      </c>
      <c r="H679" s="8"/>
    </row>
    <row r="680" spans="1:8" ht="19.5" customHeight="1" x14ac:dyDescent="0.25">
      <c r="A680" s="93"/>
      <c r="B680" s="96"/>
      <c r="C680" s="57" t="s">
        <v>661</v>
      </c>
      <c r="D680" s="27" t="s">
        <v>7</v>
      </c>
      <c r="E680" s="34">
        <v>22</v>
      </c>
      <c r="F680" s="58">
        <v>10</v>
      </c>
      <c r="G680" s="58">
        <v>220</v>
      </c>
      <c r="H680" s="8"/>
    </row>
    <row r="681" spans="1:8" ht="19.5" customHeight="1" x14ac:dyDescent="0.25">
      <c r="A681" s="93"/>
      <c r="B681" s="96"/>
      <c r="C681" s="57" t="s">
        <v>16</v>
      </c>
      <c r="D681" s="27" t="s">
        <v>163</v>
      </c>
      <c r="E681" s="34">
        <v>1</v>
      </c>
      <c r="F681" s="58">
        <v>200</v>
      </c>
      <c r="G681" s="58">
        <v>200</v>
      </c>
      <c r="H681" s="8"/>
    </row>
    <row r="682" spans="1:8" ht="19.5" customHeight="1" x14ac:dyDescent="0.25">
      <c r="A682" s="93"/>
      <c r="B682" s="96"/>
      <c r="C682" s="57" t="s">
        <v>662</v>
      </c>
      <c r="D682" s="27" t="s">
        <v>7</v>
      </c>
      <c r="E682" s="34">
        <v>7</v>
      </c>
      <c r="F682" s="58">
        <v>20</v>
      </c>
      <c r="G682" s="58">
        <v>140</v>
      </c>
      <c r="H682" s="8"/>
    </row>
    <row r="683" spans="1:8" ht="19.5" customHeight="1" x14ac:dyDescent="0.25">
      <c r="A683" s="93"/>
      <c r="B683" s="96"/>
      <c r="C683" s="57" t="s">
        <v>663</v>
      </c>
      <c r="D683" s="27" t="s">
        <v>163</v>
      </c>
      <c r="E683" s="34">
        <v>2</v>
      </c>
      <c r="F683" s="58">
        <v>30</v>
      </c>
      <c r="G683" s="58">
        <v>60</v>
      </c>
      <c r="H683" s="8"/>
    </row>
    <row r="684" spans="1:8" ht="19.5" customHeight="1" x14ac:dyDescent="0.25">
      <c r="A684" s="93"/>
      <c r="B684" s="96"/>
      <c r="C684" s="57" t="s">
        <v>14</v>
      </c>
      <c r="D684" s="27" t="s">
        <v>163</v>
      </c>
      <c r="E684" s="34">
        <v>7</v>
      </c>
      <c r="F684" s="58">
        <v>30</v>
      </c>
      <c r="G684" s="58">
        <v>210</v>
      </c>
      <c r="H684" s="8"/>
    </row>
    <row r="685" spans="1:8" ht="19.5" customHeight="1" x14ac:dyDescent="0.25">
      <c r="A685" s="93"/>
      <c r="B685" s="96"/>
      <c r="C685" s="57" t="s">
        <v>664</v>
      </c>
      <c r="D685" s="27" t="s">
        <v>163</v>
      </c>
      <c r="E685" s="34">
        <v>10</v>
      </c>
      <c r="F685" s="58">
        <f>G685/E685</f>
        <v>173.67699999999999</v>
      </c>
      <c r="G685" s="58">
        <f>847.95+524.82+364</f>
        <v>1736.77</v>
      </c>
      <c r="H685" s="8"/>
    </row>
    <row r="686" spans="1:8" ht="19.5" customHeight="1" x14ac:dyDescent="0.25">
      <c r="A686" s="93"/>
      <c r="B686" s="96"/>
      <c r="C686" s="57" t="s">
        <v>539</v>
      </c>
      <c r="D686" s="27" t="s">
        <v>7</v>
      </c>
      <c r="E686" s="34">
        <v>10</v>
      </c>
      <c r="F686" s="58">
        <v>682.65</v>
      </c>
      <c r="G686" s="58">
        <v>6826.5</v>
      </c>
      <c r="H686" s="8"/>
    </row>
    <row r="687" spans="1:8" ht="15.75" x14ac:dyDescent="0.25">
      <c r="A687" s="93"/>
      <c r="B687" s="96"/>
      <c r="C687" s="57" t="s">
        <v>65</v>
      </c>
      <c r="D687" s="27" t="s">
        <v>7</v>
      </c>
      <c r="E687" s="34">
        <v>1</v>
      </c>
      <c r="F687" s="58">
        <v>12218.99</v>
      </c>
      <c r="G687" s="58">
        <v>12218.99</v>
      </c>
      <c r="H687" s="8"/>
    </row>
    <row r="688" spans="1:8" ht="15.75" x14ac:dyDescent="0.25">
      <c r="A688" s="93"/>
      <c r="B688" s="96"/>
      <c r="C688" s="57" t="s">
        <v>666</v>
      </c>
      <c r="D688" s="27" t="s">
        <v>7</v>
      </c>
      <c r="E688" s="34">
        <v>8</v>
      </c>
      <c r="F688" s="58">
        <v>164.65</v>
      </c>
      <c r="G688" s="58">
        <v>1317.2</v>
      </c>
      <c r="H688" s="8"/>
    </row>
    <row r="689" spans="1:8" ht="15.75" x14ac:dyDescent="0.25">
      <c r="A689" s="93"/>
      <c r="B689" s="96"/>
      <c r="C689" s="57" t="s">
        <v>668</v>
      </c>
      <c r="D689" s="27" t="s">
        <v>7</v>
      </c>
      <c r="E689" s="34">
        <v>4</v>
      </c>
      <c r="F689" s="58">
        <v>190.92</v>
      </c>
      <c r="G689" s="58">
        <v>763.68</v>
      </c>
      <c r="H689" s="8"/>
    </row>
    <row r="690" spans="1:8" ht="15.75" x14ac:dyDescent="0.25">
      <c r="A690" s="93"/>
      <c r="B690" s="96"/>
      <c r="C690" s="30" t="s">
        <v>669</v>
      </c>
      <c r="D690" s="27" t="s">
        <v>7</v>
      </c>
      <c r="E690" s="4">
        <v>10</v>
      </c>
      <c r="F690" s="32">
        <v>955</v>
      </c>
      <c r="G690" s="32">
        <v>9550</v>
      </c>
      <c r="H690" s="8"/>
    </row>
    <row r="691" spans="1:8" ht="15.75" x14ac:dyDescent="0.25">
      <c r="A691" s="93"/>
      <c r="B691" s="96"/>
      <c r="C691" s="30" t="s">
        <v>667</v>
      </c>
      <c r="D691" s="27" t="s">
        <v>7</v>
      </c>
      <c r="E691" s="4">
        <v>5</v>
      </c>
      <c r="F691" s="32">
        <v>255.67</v>
      </c>
      <c r="G691" s="32">
        <v>1278.3499999999999</v>
      </c>
      <c r="H691" s="8"/>
    </row>
    <row r="692" spans="1:8" x14ac:dyDescent="0.25">
      <c r="A692" s="94"/>
      <c r="B692" s="96"/>
      <c r="C692" s="21" t="s">
        <v>670</v>
      </c>
      <c r="D692" s="3" t="s">
        <v>7</v>
      </c>
      <c r="E692" s="4">
        <v>1</v>
      </c>
      <c r="F692" s="32">
        <v>4950</v>
      </c>
      <c r="G692" s="32">
        <v>4950</v>
      </c>
      <c r="H692" s="8"/>
    </row>
    <row r="693" spans="1:8" hidden="1" x14ac:dyDescent="0.25">
      <c r="A693" s="11"/>
      <c r="B693" s="12"/>
      <c r="C693" s="21"/>
      <c r="D693" s="3"/>
      <c r="E693" s="4"/>
      <c r="F693" s="32"/>
      <c r="G693" s="32"/>
      <c r="H693" s="8"/>
    </row>
    <row r="694" spans="1:8" hidden="1" x14ac:dyDescent="0.25">
      <c r="A694" s="11"/>
      <c r="B694" s="12"/>
      <c r="C694" s="21"/>
      <c r="D694" s="3"/>
      <c r="E694" s="4"/>
      <c r="F694" s="32"/>
      <c r="G694" s="32"/>
      <c r="H694" s="8"/>
    </row>
    <row r="695" spans="1:8" x14ac:dyDescent="0.25">
      <c r="A695" s="7"/>
      <c r="B695" s="8"/>
      <c r="C695" s="8" t="s">
        <v>9</v>
      </c>
      <c r="D695" s="7"/>
      <c r="E695" s="9"/>
      <c r="F695" s="61"/>
      <c r="G695" s="61">
        <f>SUM(G666:G693)</f>
        <v>49986.709999999992</v>
      </c>
      <c r="H695" s="8"/>
    </row>
    <row r="696" spans="1:8" hidden="1" x14ac:dyDescent="0.25">
      <c r="A696" s="11"/>
      <c r="B696" s="12" t="s">
        <v>552</v>
      </c>
      <c r="C696" s="21"/>
      <c r="D696" s="11"/>
      <c r="E696" s="13"/>
      <c r="F696" s="60"/>
      <c r="G696" s="60"/>
      <c r="H696" s="8"/>
    </row>
    <row r="697" spans="1:8" hidden="1" x14ac:dyDescent="0.25">
      <c r="A697" s="55"/>
      <c r="B697" s="12" t="s">
        <v>552</v>
      </c>
      <c r="C697" s="12"/>
      <c r="D697" s="11"/>
      <c r="E697" s="13"/>
      <c r="F697" s="60"/>
      <c r="G697" s="60"/>
      <c r="H697" s="8"/>
    </row>
    <row r="698" spans="1:8" hidden="1" x14ac:dyDescent="0.25">
      <c r="A698" s="55"/>
      <c r="B698" s="56"/>
      <c r="C698" s="21"/>
      <c r="D698" s="3"/>
      <c r="E698" s="4"/>
      <c r="F698" s="32"/>
      <c r="G698" s="32"/>
      <c r="H698" s="8"/>
    </row>
    <row r="699" spans="1:8" hidden="1" x14ac:dyDescent="0.25">
      <c r="A699" s="55"/>
      <c r="B699" s="56"/>
      <c r="C699" s="21"/>
      <c r="D699" s="3"/>
      <c r="E699" s="4"/>
      <c r="F699" s="32"/>
      <c r="G699" s="32"/>
      <c r="H699" s="8"/>
    </row>
    <row r="700" spans="1:8" hidden="1" x14ac:dyDescent="0.25">
      <c r="A700" s="53"/>
      <c r="B700" s="54"/>
      <c r="C700" s="8" t="s">
        <v>9</v>
      </c>
      <c r="D700" s="7"/>
      <c r="E700" s="9"/>
      <c r="F700" s="61"/>
      <c r="G700" s="61">
        <f>SUM(G696:G699)</f>
        <v>0</v>
      </c>
      <c r="H700" s="8"/>
    </row>
    <row r="701" spans="1:8" x14ac:dyDescent="0.25">
      <c r="A701" s="80" t="s">
        <v>671</v>
      </c>
      <c r="B701" s="81"/>
      <c r="C701" s="15"/>
      <c r="D701" s="16"/>
      <c r="E701" s="17"/>
      <c r="F701" s="62"/>
      <c r="G701" s="62">
        <f>G700+G695+G665+G635+G608+G581+G554+G527+G504+G477+G449+G420+G365+G336+G307+G279+G255+G227+G198+G171+G143+G116+G93+G392</f>
        <v>3228543.8499999992</v>
      </c>
      <c r="H701" s="15"/>
    </row>
    <row r="703" spans="1:8" x14ac:dyDescent="0.25">
      <c r="B703" s="1" t="s">
        <v>63</v>
      </c>
    </row>
  </sheetData>
  <mergeCells count="48">
    <mergeCell ref="B636:B662"/>
    <mergeCell ref="A636:A662"/>
    <mergeCell ref="B666:B692"/>
    <mergeCell ref="A666:A692"/>
    <mergeCell ref="B555:B580"/>
    <mergeCell ref="A555:A580"/>
    <mergeCell ref="B582:B607"/>
    <mergeCell ref="A582:A607"/>
    <mergeCell ref="B609:B634"/>
    <mergeCell ref="A609:A634"/>
    <mergeCell ref="B478:B503"/>
    <mergeCell ref="A478:A503"/>
    <mergeCell ref="B505:B526"/>
    <mergeCell ref="A505:A526"/>
    <mergeCell ref="B528:B553"/>
    <mergeCell ref="A528:A553"/>
    <mergeCell ref="A393:A419"/>
    <mergeCell ref="B393:B419"/>
    <mergeCell ref="B421:B448"/>
    <mergeCell ref="A421:A448"/>
    <mergeCell ref="B450:B476"/>
    <mergeCell ref="A450:A476"/>
    <mergeCell ref="B337:B364"/>
    <mergeCell ref="A337:A364"/>
    <mergeCell ref="A366:A391"/>
    <mergeCell ref="B366:B391"/>
    <mergeCell ref="A256:A278"/>
    <mergeCell ref="B256:B278"/>
    <mergeCell ref="A280:A306"/>
    <mergeCell ref="B280:B306"/>
    <mergeCell ref="A308:A335"/>
    <mergeCell ref="B308:B335"/>
    <mergeCell ref="A1:H1"/>
    <mergeCell ref="A701:B701"/>
    <mergeCell ref="A3:A92"/>
    <mergeCell ref="B3:B92"/>
    <mergeCell ref="A94:A115"/>
    <mergeCell ref="B94:B115"/>
    <mergeCell ref="A117:A142"/>
    <mergeCell ref="B117:B142"/>
    <mergeCell ref="A144:A170"/>
    <mergeCell ref="B144:B170"/>
    <mergeCell ref="A172:A197"/>
    <mergeCell ref="B172:B197"/>
    <mergeCell ref="A199:A226"/>
    <mergeCell ref="B199:B226"/>
    <mergeCell ref="A228:A254"/>
    <mergeCell ref="B228:B254"/>
  </mergeCells>
  <pageMargins left="0.7" right="0.7" top="0.75" bottom="0.75" header="0.3" footer="0.3"/>
  <pageSetup paperSize="9" scale="7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8</vt:i4>
      </vt:variant>
    </vt:vector>
  </HeadingPairs>
  <TitlesOfParts>
    <vt:vector size="20" baseType="lpstr">
      <vt:lpstr>Січень </vt:lpstr>
      <vt:lpstr>Лютий</vt:lpstr>
      <vt:lpstr>Березень</vt:lpstr>
      <vt:lpstr>Квітень </vt:lpstr>
      <vt:lpstr>Травень</vt:lpstr>
      <vt:lpstr>Червень</vt:lpstr>
      <vt:lpstr>Липень</vt:lpstr>
      <vt:lpstr>Серпень</vt:lpstr>
      <vt:lpstr>Вересень </vt:lpstr>
      <vt:lpstr>Жовтень </vt:lpstr>
      <vt:lpstr>Листопад </vt:lpstr>
      <vt:lpstr>Грудень</vt:lpstr>
      <vt:lpstr>'Вересень '!Область_печати</vt:lpstr>
      <vt:lpstr>Грудень!Область_печати</vt:lpstr>
      <vt:lpstr>'Жовтень '!Область_печати</vt:lpstr>
      <vt:lpstr>'Квітень '!Область_печати</vt:lpstr>
      <vt:lpstr>Липень!Область_печати</vt:lpstr>
      <vt:lpstr>'Листопад '!Область_печати</vt:lpstr>
      <vt:lpstr>Лютий!Область_печати</vt:lpstr>
      <vt:lpstr>'Січень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2024-07-29T06:57:58Z</dcterms:modified>
</cp:coreProperties>
</file>