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5" activeTab="15"/>
  </bookViews>
  <sheets>
    <sheet name="Лист1" sheetId="27" r:id="rId1"/>
    <sheet name="Січень " sheetId="24" r:id="rId2"/>
    <sheet name="Лютий" sheetId="23" r:id="rId3"/>
    <sheet name="Березень КЗШ " sheetId="22" r:id="rId4"/>
    <sheet name="Березень ДНЗ" sheetId="25" r:id="rId5"/>
    <sheet name="Квітень КЗШ" sheetId="21" r:id="rId6"/>
    <sheet name="Квітень ДНЗ,ПНЗ,ДЮСШ" sheetId="26" r:id="rId7"/>
    <sheet name="Травень КЗШ,ДЮСШ" sheetId="20" r:id="rId8"/>
    <sheet name="Травень ДНЗ,ПНЗ" sheetId="19" r:id="rId9"/>
    <sheet name="Червень ВСІ 2023" sheetId="28" r:id="rId10"/>
    <sheet name="Липень КЗШ-2023 " sheetId="18" r:id="rId11"/>
    <sheet name="Липень-2023 ДНЗ ПНЗ ДЮСШ" sheetId="17" r:id="rId12"/>
    <sheet name="Серпень 2023 КЗШ" sheetId="16" r:id="rId13"/>
    <sheet name="Серпень 2023 ДНЗ,ПНЗ," sheetId="15" r:id="rId14"/>
    <sheet name="Вересень 2023" sheetId="14" r:id="rId15"/>
    <sheet name="Жовтень" sheetId="11" r:id="rId16"/>
  </sheets>
  <definedNames>
    <definedName name="_xlnm.Print_Area" localSheetId="5">'Квітень КЗШ'!$A$1:$Q$230</definedName>
    <definedName name="_xlnm.Print_Area" localSheetId="1">'Січень '!$A$1:$O$208</definedName>
  </definedNames>
  <calcPr calcId="124519"/>
</workbook>
</file>

<file path=xl/calcChain.xml><?xml version="1.0" encoding="utf-8"?>
<calcChain xmlns="http://schemas.openxmlformats.org/spreadsheetml/2006/main">
  <c r="O58" i="14"/>
  <c r="O56"/>
  <c r="O4"/>
  <c r="O183"/>
  <c r="O181"/>
  <c r="M84" i="17"/>
  <c r="L88" i="19" l="1"/>
  <c r="L59" i="26"/>
  <c r="F9" i="11" l="1"/>
  <c r="F10" s="1"/>
  <c r="M105" i="14"/>
  <c r="M178" l="1"/>
  <c r="M204"/>
  <c r="M203"/>
  <c r="M201"/>
  <c r="M198"/>
  <c r="M196"/>
  <c r="M194"/>
  <c r="M191"/>
  <c r="M189"/>
  <c r="M186"/>
  <c r="M183"/>
  <c r="M180"/>
  <c r="M168"/>
  <c r="M161"/>
  <c r="M152"/>
  <c r="M145"/>
  <c r="M133"/>
  <c r="M129"/>
  <c r="M111"/>
  <c r="M69"/>
  <c r="M64"/>
  <c r="M58"/>
  <c r="M170"/>
  <c r="M164"/>
  <c r="M156"/>
  <c r="M54"/>
  <c r="M176"/>
  <c r="M52"/>
  <c r="M218"/>
  <c r="N213"/>
  <c r="M213"/>
  <c r="M214" s="1"/>
  <c r="N203"/>
  <c r="N174"/>
  <c r="M174"/>
  <c r="M172"/>
  <c r="M154"/>
  <c r="N152"/>
  <c r="N147"/>
  <c r="M147"/>
  <c r="N145"/>
  <c r="M141"/>
  <c r="N139"/>
  <c r="M139"/>
  <c r="M135"/>
  <c r="N111"/>
  <c r="N105"/>
  <c r="N69"/>
  <c r="M60"/>
  <c r="N58"/>
  <c r="N52"/>
  <c r="L61" i="15"/>
  <c r="L59"/>
  <c r="L4"/>
  <c r="L58"/>
  <c r="L56"/>
  <c r="M54"/>
  <c r="L54"/>
  <c r="M52"/>
  <c r="L52"/>
  <c r="M50"/>
  <c r="L50"/>
  <c r="L48"/>
  <c r="M46"/>
  <c r="L46"/>
  <c r="L44"/>
  <c r="L42"/>
  <c r="L40"/>
  <c r="M38"/>
  <c r="L38"/>
  <c r="M36"/>
  <c r="L36"/>
  <c r="M34"/>
  <c r="L34"/>
  <c r="L32"/>
  <c r="L30"/>
  <c r="L27"/>
  <c r="M17"/>
  <c r="L17"/>
  <c r="L6"/>
  <c r="M4"/>
  <c r="M163" i="16"/>
  <c r="M14"/>
  <c r="N162"/>
  <c r="M162"/>
  <c r="M156"/>
  <c r="M152"/>
  <c r="N148"/>
  <c r="M148"/>
  <c r="N141"/>
  <c r="M141"/>
  <c r="N134"/>
  <c r="M134"/>
  <c r="N129"/>
  <c r="M129"/>
  <c r="M123"/>
  <c r="M117"/>
  <c r="N111"/>
  <c r="M111"/>
  <c r="N102"/>
  <c r="M102"/>
  <c r="N96"/>
  <c r="M96"/>
  <c r="M91"/>
  <c r="N85"/>
  <c r="M85"/>
  <c r="M79"/>
  <c r="M72"/>
  <c r="M68"/>
  <c r="N61"/>
  <c r="M61"/>
  <c r="N54"/>
  <c r="M54"/>
  <c r="N48"/>
  <c r="M48"/>
  <c r="M33"/>
  <c r="M28"/>
  <c r="N23"/>
  <c r="M23"/>
  <c r="M18"/>
  <c r="N14"/>
  <c r="M54" i="18"/>
  <c r="M95"/>
  <c r="M156"/>
  <c r="M150"/>
  <c r="M142"/>
  <c r="M134"/>
  <c r="M127"/>
  <c r="M122"/>
  <c r="M116"/>
  <c r="M110"/>
  <c r="M104"/>
  <c r="M89"/>
  <c r="M84"/>
  <c r="M78"/>
  <c r="M72"/>
  <c r="M65"/>
  <c r="M61"/>
  <c r="M47"/>
  <c r="M41"/>
  <c r="M26"/>
  <c r="M21"/>
  <c r="M16"/>
  <c r="M11"/>
  <c r="M7"/>
  <c r="L30" i="17"/>
  <c r="L85" s="1"/>
  <c r="K89"/>
  <c r="L57"/>
  <c r="L21"/>
  <c r="L23"/>
  <c r="L25"/>
  <c r="L27"/>
  <c r="L36"/>
  <c r="L38"/>
  <c r="L40"/>
  <c r="L45"/>
  <c r="L47"/>
  <c r="L49"/>
  <c r="L51"/>
  <c r="L60"/>
  <c r="L62"/>
  <c r="L67"/>
  <c r="L71"/>
  <c r="L75"/>
  <c r="L77"/>
  <c r="L80"/>
  <c r="L82"/>
  <c r="L84"/>
  <c r="L73"/>
  <c r="L18"/>
  <c r="L16"/>
  <c r="L14"/>
  <c r="L11"/>
  <c r="M98" i="18"/>
  <c r="K98"/>
  <c r="M38"/>
  <c r="K38"/>
  <c r="M33"/>
  <c r="K33"/>
  <c r="M30"/>
  <c r="K30"/>
  <c r="L8" i="17"/>
  <c r="L69"/>
  <c r="L64"/>
  <c r="L34"/>
  <c r="L32"/>
  <c r="L4"/>
  <c r="K4"/>
  <c r="M118" i="18"/>
  <c r="M67"/>
  <c r="K67"/>
  <c r="N156"/>
  <c r="M146"/>
  <c r="N142"/>
  <c r="N134"/>
  <c r="N127"/>
  <c r="N122"/>
  <c r="N104"/>
  <c r="N95"/>
  <c r="N89"/>
  <c r="N78"/>
  <c r="N54"/>
  <c r="N47"/>
  <c r="N41"/>
  <c r="N16"/>
  <c r="N7"/>
  <c r="L214" i="28"/>
  <c r="L210"/>
  <c r="L209"/>
  <c r="L200"/>
  <c r="L199"/>
  <c r="N196"/>
  <c r="L133"/>
  <c r="L135" s="1"/>
  <c r="L126"/>
  <c r="L119"/>
  <c r="L118"/>
  <c r="M209"/>
  <c r="M199"/>
  <c r="M195"/>
  <c r="L195"/>
  <c r="L193"/>
  <c r="L196" s="1"/>
  <c r="L215" s="1"/>
  <c r="L190"/>
  <c r="M188"/>
  <c r="L188"/>
  <c r="M137"/>
  <c r="L137"/>
  <c r="M135"/>
  <c r="L130"/>
  <c r="M126"/>
  <c r="L116"/>
  <c r="L112"/>
  <c r="L108"/>
  <c r="M104"/>
  <c r="L104"/>
  <c r="M101"/>
  <c r="L101"/>
  <c r="M87"/>
  <c r="L87"/>
  <c r="L83"/>
  <c r="L81"/>
  <c r="M78"/>
  <c r="L78"/>
  <c r="L57"/>
  <c r="M55"/>
  <c r="L55"/>
  <c r="L91" i="19"/>
  <c r="L90"/>
  <c r="L92" s="1"/>
  <c r="L82"/>
  <c r="L87"/>
  <c r="L77"/>
  <c r="L72"/>
  <c r="L67"/>
  <c r="L62"/>
  <c r="L57"/>
  <c r="L52"/>
  <c r="L47"/>
  <c r="L42"/>
  <c r="L37"/>
  <c r="L32"/>
  <c r="L27"/>
  <c r="L22"/>
  <c r="L17"/>
  <c r="L12"/>
  <c r="L7"/>
  <c r="L52" i="20"/>
  <c r="N52"/>
  <c r="L36"/>
  <c r="L33"/>
  <c r="L29"/>
  <c r="M54"/>
  <c r="L54"/>
  <c r="L51"/>
  <c r="M49"/>
  <c r="L49"/>
  <c r="M47"/>
  <c r="L47"/>
  <c r="M45"/>
  <c r="M43"/>
  <c r="L43"/>
  <c r="L41"/>
  <c r="M39"/>
  <c r="L39"/>
  <c r="M36"/>
  <c r="M31"/>
  <c r="L31"/>
  <c r="M20"/>
  <c r="L20"/>
  <c r="L18"/>
  <c r="L16"/>
  <c r="M14"/>
  <c r="L14"/>
  <c r="M12"/>
  <c r="L12"/>
  <c r="M10"/>
  <c r="L10"/>
  <c r="L8"/>
  <c r="M6"/>
  <c r="L6"/>
  <c r="M4"/>
  <c r="L4"/>
  <c r="J36" i="27"/>
  <c r="M219" i="14" l="1"/>
  <c r="L28" i="15"/>
  <c r="L7"/>
  <c r="M157" i="16"/>
  <c r="L19" i="17"/>
  <c r="L9"/>
  <c r="M151" i="18"/>
  <c r="M157" s="1"/>
  <c r="K88" i="17" s="1"/>
  <c r="O196" i="28"/>
  <c r="L45" i="20"/>
  <c r="J20" i="27"/>
  <c r="J19"/>
  <c r="J18"/>
  <c r="J17"/>
  <c r="J16"/>
  <c r="J15"/>
  <c r="J14"/>
  <c r="J13"/>
  <c r="J12"/>
  <c r="J11"/>
  <c r="J10"/>
  <c r="J9"/>
  <c r="J8"/>
  <c r="I8"/>
  <c r="J7"/>
  <c r="J6"/>
  <c r="J209"/>
  <c r="L13"/>
  <c r="J5"/>
  <c r="I5"/>
  <c r="J4"/>
  <c r="I4"/>
  <c r="I3"/>
  <c r="J3" s="1"/>
  <c r="P178" i="14" l="1"/>
  <c r="L86" i="17"/>
  <c r="K90" s="1"/>
  <c r="L55" i="20"/>
  <c r="O52"/>
  <c r="L226" i="21"/>
  <c r="L221"/>
  <c r="L224" s="1"/>
  <c r="L202"/>
  <c r="L185"/>
  <c r="L57" i="26"/>
  <c r="L58" s="1"/>
  <c r="L53"/>
  <c r="L54" s="1"/>
  <c r="L51"/>
  <c r="L52" s="1"/>
  <c r="L49"/>
  <c r="L50" s="1"/>
  <c r="L45"/>
  <c r="L46" s="1"/>
  <c r="L41"/>
  <c r="L42" s="1"/>
  <c r="L39"/>
  <c r="L40" s="1"/>
  <c r="L37"/>
  <c r="L38" s="1"/>
  <c r="L35"/>
  <c r="L36" s="1"/>
  <c r="L33"/>
  <c r="L34" s="1"/>
  <c r="L29"/>
  <c r="L30" s="1"/>
  <c r="L27"/>
  <c r="L28" s="1"/>
  <c r="L17"/>
  <c r="L3"/>
  <c r="L4" s="1"/>
  <c r="L55"/>
  <c r="L56" s="1"/>
  <c r="M54"/>
  <c r="M52"/>
  <c r="M50"/>
  <c r="L47"/>
  <c r="L48" s="1"/>
  <c r="M46"/>
  <c r="L43"/>
  <c r="L44" s="1"/>
  <c r="M38"/>
  <c r="M36"/>
  <c r="M34"/>
  <c r="L31"/>
  <c r="L32" s="1"/>
  <c r="M17"/>
  <c r="L5"/>
  <c r="L6" s="1"/>
  <c r="M4"/>
  <c r="L220" i="21"/>
  <c r="L197"/>
  <c r="J197"/>
  <c r="L193"/>
  <c r="J193"/>
  <c r="L182"/>
  <c r="L166"/>
  <c r="L127"/>
  <c r="L122"/>
  <c r="L116"/>
  <c r="L109"/>
  <c r="L112" s="1"/>
  <c r="L108"/>
  <c r="L86"/>
  <c r="L82"/>
  <c r="L83" s="1"/>
  <c r="L80"/>
  <c r="L47"/>
  <c r="L55" s="1"/>
  <c r="J47"/>
  <c r="M227"/>
  <c r="M220"/>
  <c r="M205"/>
  <c r="M201"/>
  <c r="M187"/>
  <c r="M180"/>
  <c r="M129"/>
  <c r="M127"/>
  <c r="M118"/>
  <c r="M104"/>
  <c r="M101"/>
  <c r="M87"/>
  <c r="M78"/>
  <c r="L56"/>
  <c r="L57" s="1"/>
  <c r="M55"/>
  <c r="J43" i="22"/>
  <c r="K270"/>
  <c r="K266"/>
  <c r="J253"/>
  <c r="J254"/>
  <c r="J255"/>
  <c r="J256"/>
  <c r="J257"/>
  <c r="J258"/>
  <c r="J259"/>
  <c r="J260"/>
  <c r="J261"/>
  <c r="J262"/>
  <c r="J263"/>
  <c r="J264"/>
  <c r="J265"/>
  <c r="J252"/>
  <c r="J211"/>
  <c r="J210"/>
  <c r="J209"/>
  <c r="J208"/>
  <c r="J207"/>
  <c r="J206"/>
  <c r="J205"/>
  <c r="J204"/>
  <c r="J203"/>
  <c r="J202"/>
  <c r="J201"/>
  <c r="J200"/>
  <c r="J268"/>
  <c r="J269"/>
  <c r="L7" i="26" l="1"/>
  <c r="L227" i="21"/>
  <c r="L187"/>
  <c r="L87"/>
  <c r="L129"/>
  <c r="L201"/>
  <c r="L205"/>
  <c r="L118"/>
  <c r="L101"/>
  <c r="L81"/>
  <c r="L104"/>
  <c r="L78"/>
  <c r="L180"/>
  <c r="J91" i="22"/>
  <c r="J90"/>
  <c r="J130"/>
  <c r="J131" s="1"/>
  <c r="J224"/>
  <c r="K283"/>
  <c r="K275"/>
  <c r="K247"/>
  <c r="K221"/>
  <c r="K212"/>
  <c r="K188"/>
  <c r="K168"/>
  <c r="K125"/>
  <c r="K99"/>
  <c r="K78"/>
  <c r="K56"/>
  <c r="K43"/>
  <c r="J280"/>
  <c r="J281"/>
  <c r="J282"/>
  <c r="J276"/>
  <c r="J277" s="1"/>
  <c r="J274"/>
  <c r="H274"/>
  <c r="J271"/>
  <c r="H271"/>
  <c r="J250"/>
  <c r="H250"/>
  <c r="J248"/>
  <c r="J266" s="1"/>
  <c r="H248"/>
  <c r="J245"/>
  <c r="I245"/>
  <c r="H245"/>
  <c r="J242"/>
  <c r="H242"/>
  <c r="J220"/>
  <c r="H220"/>
  <c r="H192"/>
  <c r="J192" s="1"/>
  <c r="J189"/>
  <c r="H189"/>
  <c r="J187"/>
  <c r="J186"/>
  <c r="J185"/>
  <c r="J184"/>
  <c r="J183"/>
  <c r="J181"/>
  <c r="J180"/>
  <c r="J174"/>
  <c r="H174"/>
  <c r="J171"/>
  <c r="H171"/>
  <c r="J160"/>
  <c r="H160"/>
  <c r="J157"/>
  <c r="H157"/>
  <c r="J154"/>
  <c r="H154"/>
  <c r="J153"/>
  <c r="J152"/>
  <c r="J151"/>
  <c r="J150"/>
  <c r="J149"/>
  <c r="J148"/>
  <c r="J147"/>
  <c r="J146"/>
  <c r="J145"/>
  <c r="J144"/>
  <c r="J115"/>
  <c r="J112"/>
  <c r="H115"/>
  <c r="J114"/>
  <c r="J111"/>
  <c r="J92"/>
  <c r="H92"/>
  <c r="J95"/>
  <c r="H95"/>
  <c r="J93"/>
  <c r="J74"/>
  <c r="H74"/>
  <c r="J71"/>
  <c r="H71"/>
  <c r="J69"/>
  <c r="H69"/>
  <c r="J67"/>
  <c r="H67"/>
  <c r="J65"/>
  <c r="H65"/>
  <c r="J55"/>
  <c r="H55"/>
  <c r="J52"/>
  <c r="H52"/>
  <c r="J40"/>
  <c r="J39"/>
  <c r="J38"/>
  <c r="J37"/>
  <c r="J36"/>
  <c r="J35"/>
  <c r="J34"/>
  <c r="J33"/>
  <c r="J32"/>
  <c r="J31"/>
  <c r="J30"/>
  <c r="J29"/>
  <c r="J28"/>
  <c r="J27"/>
  <c r="J26"/>
  <c r="J25"/>
  <c r="J24"/>
  <c r="J14"/>
  <c r="H14"/>
  <c r="J10"/>
  <c r="H10"/>
  <c r="J8"/>
  <c r="H8"/>
  <c r="J7"/>
  <c r="H7"/>
  <c r="J17" i="25"/>
  <c r="J15"/>
  <c r="J18"/>
  <c r="J19" s="1"/>
  <c r="J14"/>
  <c r="J12"/>
  <c r="J11"/>
  <c r="J9"/>
  <c r="J8"/>
  <c r="J6"/>
  <c r="J7" s="1"/>
  <c r="J4"/>
  <c r="J3"/>
  <c r="J279" i="22"/>
  <c r="J273"/>
  <c r="J272"/>
  <c r="J267"/>
  <c r="J270" s="1"/>
  <c r="J225"/>
  <c r="J226" s="1"/>
  <c r="J219"/>
  <c r="J218"/>
  <c r="J217"/>
  <c r="J216"/>
  <c r="J215"/>
  <c r="J214"/>
  <c r="J213"/>
  <c r="J199"/>
  <c r="J198"/>
  <c r="J197"/>
  <c r="J196"/>
  <c r="J195"/>
  <c r="J194"/>
  <c r="J193"/>
  <c r="J191"/>
  <c r="J190"/>
  <c r="J182"/>
  <c r="J179"/>
  <c r="J178"/>
  <c r="J177"/>
  <c r="J176"/>
  <c r="J175"/>
  <c r="J173"/>
  <c r="J172"/>
  <c r="J169"/>
  <c r="J170" s="1"/>
  <c r="J159"/>
  <c r="J158"/>
  <c r="J156"/>
  <c r="J143"/>
  <c r="J142"/>
  <c r="J141"/>
  <c r="J140"/>
  <c r="J139"/>
  <c r="J138"/>
  <c r="J137"/>
  <c r="J136"/>
  <c r="J135"/>
  <c r="J134"/>
  <c r="J133"/>
  <c r="J132"/>
  <c r="J128"/>
  <c r="J129" s="1"/>
  <c r="J126"/>
  <c r="J127" s="1"/>
  <c r="J113"/>
  <c r="J110"/>
  <c r="J109"/>
  <c r="J108"/>
  <c r="J107"/>
  <c r="J106"/>
  <c r="J105"/>
  <c r="J104"/>
  <c r="J103"/>
  <c r="J102"/>
  <c r="J101"/>
  <c r="J100"/>
  <c r="J89"/>
  <c r="J88"/>
  <c r="J87"/>
  <c r="J86"/>
  <c r="J85"/>
  <c r="J84"/>
  <c r="J83"/>
  <c r="J82"/>
  <c r="J81"/>
  <c r="J80"/>
  <c r="J79"/>
  <c r="J63"/>
  <c r="J64" s="1"/>
  <c r="J61"/>
  <c r="J60"/>
  <c r="J59"/>
  <c r="J58"/>
  <c r="J57"/>
  <c r="J54"/>
  <c r="J53"/>
  <c r="J51"/>
  <c r="J50"/>
  <c r="J49"/>
  <c r="J48"/>
  <c r="J47"/>
  <c r="J46"/>
  <c r="J44"/>
  <c r="J45" s="1"/>
  <c r="J23"/>
  <c r="J22"/>
  <c r="J21"/>
  <c r="J20"/>
  <c r="J19"/>
  <c r="J18"/>
  <c r="J17"/>
  <c r="J16"/>
  <c r="J15"/>
  <c r="J13"/>
  <c r="J12"/>
  <c r="J11"/>
  <c r="J9"/>
  <c r="J6"/>
  <c r="J5"/>
  <c r="J4"/>
  <c r="J3"/>
  <c r="L205" i="24"/>
  <c r="L204"/>
  <c r="J205"/>
  <c r="J71" i="23"/>
  <c r="J72"/>
  <c r="L13" i="24"/>
  <c r="L225" i="21" l="1"/>
  <c r="L228" s="1"/>
  <c r="J125" i="22"/>
  <c r="J283"/>
  <c r="J247"/>
  <c r="J168"/>
  <c r="J188"/>
  <c r="J56"/>
  <c r="J78"/>
  <c r="J99"/>
  <c r="J62"/>
  <c r="J16" i="25"/>
  <c r="J5"/>
  <c r="J10"/>
  <c r="J13"/>
  <c r="J275" i="22"/>
  <c r="J212"/>
  <c r="J221"/>
  <c r="J37" i="23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L61" i="26" l="1"/>
  <c r="J20" i="25"/>
  <c r="J278" i="22"/>
  <c r="J284" s="1"/>
  <c r="J21" i="25" s="1"/>
  <c r="J346" i="23"/>
  <c r="J401"/>
  <c r="J402" s="1"/>
  <c r="J403" s="1"/>
  <c r="H401"/>
  <c r="J392"/>
  <c r="J391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56"/>
  <c r="J355"/>
  <c r="J354"/>
  <c r="J353"/>
  <c r="J352"/>
  <c r="J351"/>
  <c r="J350"/>
  <c r="J349"/>
  <c r="J348"/>
  <c r="J347"/>
  <c r="J345"/>
  <c r="J344"/>
  <c r="J343"/>
  <c r="J342"/>
  <c r="J341"/>
  <c r="J340"/>
  <c r="J339"/>
  <c r="J338"/>
  <c r="J337"/>
  <c r="J336"/>
  <c r="J335"/>
  <c r="J304"/>
  <c r="H304"/>
  <c r="J306"/>
  <c r="J305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76"/>
  <c r="J275"/>
  <c r="J274"/>
  <c r="J273"/>
  <c r="J272"/>
  <c r="J271"/>
  <c r="J270"/>
  <c r="J269"/>
  <c r="J268"/>
  <c r="J280"/>
  <c r="J281"/>
  <c r="J282"/>
  <c r="J283"/>
  <c r="J284"/>
  <c r="J285"/>
  <c r="J286"/>
  <c r="J307"/>
  <c r="J224"/>
  <c r="H224"/>
  <c r="J208" i="24" l="1"/>
  <c r="J207"/>
  <c r="J206"/>
  <c r="J34"/>
  <c r="J149" i="23" l="1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H116"/>
  <c r="J115"/>
  <c r="J114"/>
  <c r="J113"/>
  <c r="J112"/>
  <c r="J111"/>
  <c r="J110"/>
  <c r="J109"/>
  <c r="J108"/>
  <c r="J107"/>
  <c r="J76"/>
  <c r="J75"/>
  <c r="J74"/>
  <c r="J73"/>
  <c r="I8"/>
  <c r="J8" s="1"/>
  <c r="J40" s="1"/>
  <c r="J319"/>
  <c r="J320"/>
  <c r="J321"/>
  <c r="J31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90"/>
  <c r="J91"/>
  <c r="J92"/>
  <c r="J93"/>
  <c r="J94"/>
  <c r="J95"/>
  <c r="J96"/>
  <c r="J97"/>
  <c r="J98"/>
  <c r="J99"/>
  <c r="J100"/>
  <c r="J101"/>
  <c r="J102"/>
  <c r="J103"/>
  <c r="J104"/>
  <c r="J105"/>
  <c r="J106"/>
  <c r="J47"/>
  <c r="J44"/>
  <c r="J45"/>
  <c r="J46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43"/>
  <c r="J5"/>
  <c r="J3"/>
  <c r="J397"/>
  <c r="J398" s="1"/>
  <c r="J394"/>
  <c r="J393"/>
  <c r="J362"/>
  <c r="J360"/>
  <c r="J361" s="1"/>
  <c r="J358"/>
  <c r="J359" s="1"/>
  <c r="J334"/>
  <c r="J333"/>
  <c r="J332"/>
  <c r="J331"/>
  <c r="J330"/>
  <c r="J329"/>
  <c r="J328"/>
  <c r="J327"/>
  <c r="J326"/>
  <c r="J323"/>
  <c r="J324" s="1"/>
  <c r="J316"/>
  <c r="J315"/>
  <c r="J314"/>
  <c r="J313"/>
  <c r="J310"/>
  <c r="J309"/>
  <c r="J308"/>
  <c r="J236"/>
  <c r="J235"/>
  <c r="J234"/>
  <c r="J222"/>
  <c r="J233" s="1"/>
  <c r="J218"/>
  <c r="J217"/>
  <c r="J216"/>
  <c r="J215"/>
  <c r="J214"/>
  <c r="J193"/>
  <c r="J194" s="1"/>
  <c r="J191"/>
  <c r="J192" s="1"/>
  <c r="J189"/>
  <c r="J190" s="1"/>
  <c r="J155"/>
  <c r="J154"/>
  <c r="J153"/>
  <c r="J87"/>
  <c r="J88" s="1"/>
  <c r="J85"/>
  <c r="J86" s="1"/>
  <c r="J83"/>
  <c r="J82"/>
  <c r="J81"/>
  <c r="J80"/>
  <c r="J79"/>
  <c r="J41"/>
  <c r="J42" s="1"/>
  <c r="J180" i="24"/>
  <c r="J181" s="1"/>
  <c r="J48"/>
  <c r="J204"/>
  <c r="J203"/>
  <c r="J201"/>
  <c r="J202" s="1"/>
  <c r="J182"/>
  <c r="J183" s="1"/>
  <c r="J184"/>
  <c r="J185" s="1"/>
  <c r="J166"/>
  <c r="J165"/>
  <c r="J164"/>
  <c r="J163"/>
  <c r="J162"/>
  <c r="J161"/>
  <c r="J144"/>
  <c r="J145" s="1"/>
  <c r="J129"/>
  <c r="J128"/>
  <c r="J116"/>
  <c r="J115"/>
  <c r="J114"/>
  <c r="J113"/>
  <c r="J93"/>
  <c r="J94" s="1"/>
  <c r="J91"/>
  <c r="J92" s="1"/>
  <c r="J90"/>
  <c r="J89"/>
  <c r="J88"/>
  <c r="J87"/>
  <c r="J72"/>
  <c r="J73" s="1"/>
  <c r="J57"/>
  <c r="J58" s="1"/>
  <c r="J55"/>
  <c r="J56" s="1"/>
  <c r="J53"/>
  <c r="J54" s="1"/>
  <c r="J30"/>
  <c r="J31" s="1"/>
  <c r="J32"/>
  <c r="J33" s="1"/>
  <c r="J47"/>
  <c r="J71"/>
  <c r="J45"/>
  <c r="J209"/>
  <c r="J160"/>
  <c r="J198"/>
  <c r="J197"/>
  <c r="J196"/>
  <c r="J195"/>
  <c r="J194"/>
  <c r="J193"/>
  <c r="J192"/>
  <c r="J191"/>
  <c r="J190"/>
  <c r="J189"/>
  <c r="J187"/>
  <c r="J188"/>
  <c r="I186"/>
  <c r="H186"/>
  <c r="J186" s="1"/>
  <c r="J168"/>
  <c r="J169"/>
  <c r="J170"/>
  <c r="J171"/>
  <c r="J172"/>
  <c r="J173"/>
  <c r="J174"/>
  <c r="J175"/>
  <c r="J176"/>
  <c r="J177"/>
  <c r="I167"/>
  <c r="H167"/>
  <c r="I159"/>
  <c r="J159" s="1"/>
  <c r="I158"/>
  <c r="J158" s="1"/>
  <c r="I157"/>
  <c r="J157" s="1"/>
  <c r="I156"/>
  <c r="J156" s="1"/>
  <c r="I155"/>
  <c r="J155" s="1"/>
  <c r="I154"/>
  <c r="J154" s="1"/>
  <c r="I153"/>
  <c r="J153" s="1"/>
  <c r="I152"/>
  <c r="J152" s="1"/>
  <c r="I151"/>
  <c r="J151" s="1"/>
  <c r="I147"/>
  <c r="J147" s="1"/>
  <c r="J148"/>
  <c r="J149"/>
  <c r="J150"/>
  <c r="J146"/>
  <c r="J131"/>
  <c r="J132"/>
  <c r="J133"/>
  <c r="J134"/>
  <c r="J135"/>
  <c r="J136"/>
  <c r="J137"/>
  <c r="J138"/>
  <c r="J139"/>
  <c r="J140"/>
  <c r="J141"/>
  <c r="I130"/>
  <c r="H130"/>
  <c r="J127"/>
  <c r="J126"/>
  <c r="J118"/>
  <c r="J119"/>
  <c r="J120"/>
  <c r="J121"/>
  <c r="J122"/>
  <c r="J123"/>
  <c r="J124"/>
  <c r="J125"/>
  <c r="I117"/>
  <c r="J117" s="1"/>
  <c r="J112"/>
  <c r="J111"/>
  <c r="J110"/>
  <c r="J109"/>
  <c r="J104"/>
  <c r="J99"/>
  <c r="J97"/>
  <c r="J108"/>
  <c r="J107"/>
  <c r="J106"/>
  <c r="J105"/>
  <c r="J103"/>
  <c r="J102"/>
  <c r="J101"/>
  <c r="J100"/>
  <c r="J98"/>
  <c r="J96"/>
  <c r="I95"/>
  <c r="H95"/>
  <c r="J84"/>
  <c r="J83"/>
  <c r="J82"/>
  <c r="J81"/>
  <c r="J80"/>
  <c r="J79"/>
  <c r="J78"/>
  <c r="J77"/>
  <c r="J76"/>
  <c r="J75"/>
  <c r="I74"/>
  <c r="H74"/>
  <c r="J62"/>
  <c r="J63"/>
  <c r="J64"/>
  <c r="J65"/>
  <c r="J66"/>
  <c r="J67"/>
  <c r="J68"/>
  <c r="J69"/>
  <c r="J70"/>
  <c r="J61"/>
  <c r="J60"/>
  <c r="I59"/>
  <c r="H59"/>
  <c r="I52"/>
  <c r="J52" s="1"/>
  <c r="J50"/>
  <c r="J51"/>
  <c r="J49"/>
  <c r="J44"/>
  <c r="J43"/>
  <c r="J42"/>
  <c r="J41"/>
  <c r="J40"/>
  <c r="J39"/>
  <c r="J38"/>
  <c r="J37"/>
  <c r="J36"/>
  <c r="I35"/>
  <c r="J35" s="1"/>
  <c r="I34"/>
  <c r="H34"/>
  <c r="J29"/>
  <c r="J27"/>
  <c r="J24"/>
  <c r="J23"/>
  <c r="J22"/>
  <c r="J21"/>
  <c r="H12"/>
  <c r="I12"/>
  <c r="I11"/>
  <c r="J11" s="1"/>
  <c r="I10"/>
  <c r="J10" s="1"/>
  <c r="I9"/>
  <c r="J9" s="1"/>
  <c r="I8"/>
  <c r="J8" s="1"/>
  <c r="I7"/>
  <c r="J7" s="1"/>
  <c r="I6"/>
  <c r="J6" s="1"/>
  <c r="I5"/>
  <c r="J5" s="1"/>
  <c r="I4"/>
  <c r="J4" s="1"/>
  <c r="J13"/>
  <c r="J14"/>
  <c r="J15"/>
  <c r="J16"/>
  <c r="J17"/>
  <c r="J18"/>
  <c r="J19"/>
  <c r="J20"/>
  <c r="J25"/>
  <c r="J26"/>
  <c r="J28"/>
  <c r="I3"/>
  <c r="J3" s="1"/>
  <c r="J78" i="23" l="1"/>
  <c r="J6"/>
  <c r="J7" s="1"/>
  <c r="J4"/>
  <c r="J396"/>
  <c r="J312"/>
  <c r="J278"/>
  <c r="J322"/>
  <c r="J195"/>
  <c r="J221" s="1"/>
  <c r="J357"/>
  <c r="J84"/>
  <c r="J152"/>
  <c r="J188" s="1"/>
  <c r="J317"/>
  <c r="J89"/>
  <c r="J151" s="1"/>
  <c r="J167" i="24"/>
  <c r="J74"/>
  <c r="J130"/>
  <c r="J95"/>
  <c r="J59"/>
  <c r="J12"/>
  <c r="J399" i="23" l="1"/>
  <c r="J404" s="1"/>
  <c r="J408" s="1"/>
</calcChain>
</file>

<file path=xl/sharedStrings.xml><?xml version="1.0" encoding="utf-8"?>
<sst xmlns="http://schemas.openxmlformats.org/spreadsheetml/2006/main" count="8811" uniqueCount="713">
  <si>
    <t>№ п/п</t>
  </si>
  <si>
    <t>Установа</t>
  </si>
  <si>
    <t>Від кого</t>
  </si>
  <si>
    <t>КЕКВ</t>
  </si>
  <si>
    <t>Рахунок</t>
  </si>
  <si>
    <t>Найменування</t>
  </si>
  <si>
    <t>Од вимір.</t>
  </si>
  <si>
    <t>кіль-ть</t>
  </si>
  <si>
    <t>Ціна</t>
  </si>
  <si>
    <t>Сума</t>
  </si>
  <si>
    <t>КМЦСС ДАБІЖА</t>
  </si>
  <si>
    <t>1812/2</t>
  </si>
  <si>
    <t>шт</t>
  </si>
  <si>
    <t>м2</t>
  </si>
  <si>
    <t>Всього:</t>
  </si>
  <si>
    <t>СЮТ</t>
  </si>
  <si>
    <t>Сонях</t>
  </si>
  <si>
    <t>ОЛІМП</t>
  </si>
  <si>
    <t>Рідке мило</t>
  </si>
  <si>
    <t>Засіб для миття посуду</t>
  </si>
  <si>
    <t>Пакети для сміття</t>
  </si>
  <si>
    <t>уп</t>
  </si>
  <si>
    <t>Туалетний папір</t>
  </si>
  <si>
    <t>пар</t>
  </si>
  <si>
    <t>Генератор</t>
  </si>
  <si>
    <t>Рушник</t>
  </si>
  <si>
    <t>Бак для води</t>
  </si>
  <si>
    <t>кг</t>
  </si>
  <si>
    <t>Кулер для води</t>
  </si>
  <si>
    <t>Пляшка з питною водою</t>
  </si>
  <si>
    <t>Водонагрівач</t>
  </si>
  <si>
    <t>КЗШ № 19</t>
  </si>
  <si>
    <t>Набат Кривбас</t>
  </si>
  <si>
    <t>пач.</t>
  </si>
  <si>
    <t>КГ № 21</t>
  </si>
  <si>
    <t>КЗШ № 31</t>
  </si>
  <si>
    <t>КЛ № 35</t>
  </si>
  <si>
    <t>КЗШ № 43</t>
  </si>
  <si>
    <t>Цемент</t>
  </si>
  <si>
    <t>КГ № 51</t>
  </si>
  <si>
    <t>м</t>
  </si>
  <si>
    <t>Цегла</t>
  </si>
  <si>
    <t>КГ № 58</t>
  </si>
  <si>
    <t>-</t>
  </si>
  <si>
    <t>КСШ № 70</t>
  </si>
  <si>
    <t>Мило рідке</t>
  </si>
  <si>
    <t>КГ № 72</t>
  </si>
  <si>
    <t>КГ № 74</t>
  </si>
  <si>
    <t>КГ № 91</t>
  </si>
  <si>
    <t>КЛ № 107</t>
  </si>
  <si>
    <t>КЛ № 113</t>
  </si>
  <si>
    <t>КЛ № 119</t>
  </si>
  <si>
    <t>КЗШ № 120</t>
  </si>
  <si>
    <t>КГ № 124</t>
  </si>
  <si>
    <t>КПНЛ</t>
  </si>
  <si>
    <t>КГ № 113</t>
  </si>
  <si>
    <t>КГ № 41</t>
  </si>
  <si>
    <t>Солодощі</t>
  </si>
  <si>
    <t>Мікрохвильова піч</t>
  </si>
  <si>
    <t>Конвектор</t>
  </si>
  <si>
    <t>Роутер</t>
  </si>
  <si>
    <t>Дошка для прасування</t>
  </si>
  <si>
    <t>Шампунь</t>
  </si>
  <si>
    <t>Зубна паста</t>
  </si>
  <si>
    <t>Прокладки жіночі</t>
  </si>
  <si>
    <t>Управління надзвичайних ситуацій</t>
  </si>
  <si>
    <t>КПК</t>
  </si>
  <si>
    <t>Примітка</t>
  </si>
  <si>
    <t>КГ №14</t>
  </si>
  <si>
    <t>Хлібці</t>
  </si>
  <si>
    <t>Чай</t>
  </si>
  <si>
    <t>Цукор</t>
  </si>
  <si>
    <t>ЦПРПП</t>
  </si>
  <si>
    <t>Подушки</t>
  </si>
  <si>
    <t>Підковдра б/в</t>
  </si>
  <si>
    <t>КСШ № 107</t>
  </si>
  <si>
    <t>Разом за травень по КЗШ:</t>
  </si>
  <si>
    <t>фахівець ЦБВО Ірина Моря</t>
  </si>
  <si>
    <t>КГ № 17</t>
  </si>
  <si>
    <t>Аптечка</t>
  </si>
  <si>
    <t>Телевізор</t>
  </si>
  <si>
    <t>Ролети тканинні</t>
  </si>
  <si>
    <t>Колорант</t>
  </si>
  <si>
    <t>КГ № 68</t>
  </si>
  <si>
    <t>КГ № 122</t>
  </si>
  <si>
    <t>ДЮСШ № 10</t>
  </si>
  <si>
    <t>Ковдри</t>
  </si>
  <si>
    <t>КСШ № 74</t>
  </si>
  <si>
    <t>Пензли</t>
  </si>
  <si>
    <t>Валік</t>
  </si>
  <si>
    <t>Ганчір’я</t>
  </si>
  <si>
    <t>Ліхтар</t>
  </si>
  <si>
    <t>л</t>
  </si>
  <si>
    <t>Силікон</t>
  </si>
  <si>
    <t>Блок живлення</t>
  </si>
  <si>
    <t>Розетка зовнішня</t>
  </si>
  <si>
    <t>Фарба біла</t>
  </si>
  <si>
    <t>Шпатель</t>
  </si>
  <si>
    <t>Граблі розсувні</t>
  </si>
  <si>
    <t>Мітла вулична</t>
  </si>
  <si>
    <t>Бензин</t>
  </si>
  <si>
    <t>Спальний мішок</t>
  </si>
  <si>
    <t>Мило туалетне</t>
  </si>
  <si>
    <t>пач</t>
  </si>
  <si>
    <t>КЗШ № 21</t>
  </si>
  <si>
    <t>Плед б/в</t>
  </si>
  <si>
    <t>Рушники паперові</t>
  </si>
  <si>
    <t>КЗШ № 70</t>
  </si>
  <si>
    <t>КЗШ № 119</t>
  </si>
  <si>
    <t>Прокладки</t>
  </si>
  <si>
    <t>Серветки вологі</t>
  </si>
  <si>
    <t>Рушник паперовий</t>
  </si>
  <si>
    <t>КЗШ № 124</t>
  </si>
  <si>
    <t>ДОВІРА</t>
  </si>
  <si>
    <t>Благодійні внески за СІЧЕНЬ 2023 рік.</t>
  </si>
  <si>
    <t>КМЦСС " Дабіжа"</t>
  </si>
  <si>
    <t>Стіл та 2 стільця</t>
  </si>
  <si>
    <t>Килим</t>
  </si>
  <si>
    <t>Мольберт</t>
  </si>
  <si>
    <t>Крейда кольорова</t>
  </si>
  <si>
    <t>Кольорові олівці</t>
  </si>
  <si>
    <t>Глина для моделювання</t>
  </si>
  <si>
    <t>Воскові олівці</t>
  </si>
  <si>
    <t>Конструктор Лего</t>
  </si>
  <si>
    <t>Фарба</t>
  </si>
  <si>
    <t>1511/6</t>
  </si>
  <si>
    <t>Вода питна (5л)</t>
  </si>
  <si>
    <t>"Набат Кривбас"</t>
  </si>
  <si>
    <t>Батарейки</t>
  </si>
  <si>
    <t>Батарейка крона</t>
  </si>
  <si>
    <t>Батарейка тип Д</t>
  </si>
  <si>
    <t>Ложка одноразова</t>
  </si>
  <si>
    <t>Склянка одноразова</t>
  </si>
  <si>
    <t>Ліхтарик</t>
  </si>
  <si>
    <t>1812/3</t>
  </si>
  <si>
    <t xml:space="preserve">Фільтри </t>
  </si>
  <si>
    <t>Теплова пушка</t>
  </si>
  <si>
    <t>ГО " ЕГІДА ЦЕНТР"</t>
  </si>
  <si>
    <t>Каністра для води</t>
  </si>
  <si>
    <t>Лампи на сонячних батареях</t>
  </si>
  <si>
    <t>Павербанк</t>
  </si>
  <si>
    <t>Термос</t>
  </si>
  <si>
    <t>Стакани одноразові</t>
  </si>
  <si>
    <t>Контейнер харчовий</t>
  </si>
  <si>
    <t>ПРАТ "ПІВНГЗК"</t>
  </si>
  <si>
    <t>Дизильне пальне</t>
  </si>
  <si>
    <t>л/кг</t>
  </si>
  <si>
    <t>140/118</t>
  </si>
  <si>
    <t>Бензин А-95</t>
  </si>
  <si>
    <t>100/78</t>
  </si>
  <si>
    <t>ПРАТ " ІНГЗК"</t>
  </si>
  <si>
    <t>40/30,4</t>
  </si>
  <si>
    <t>140/119</t>
  </si>
  <si>
    <t>Каністра для води 10 л.</t>
  </si>
  <si>
    <t>80/62</t>
  </si>
  <si>
    <t>Пральна машина ГОРЕНІЄ</t>
  </si>
  <si>
    <t>СИТ.Фільтр</t>
  </si>
  <si>
    <t>Електроводонагрівач НОВАТЕК</t>
  </si>
  <si>
    <t>ПРАТ " ПІВНГЗК"</t>
  </si>
  <si>
    <t>100/77</t>
  </si>
  <si>
    <t>Машина пральна</t>
  </si>
  <si>
    <t>1511/5</t>
  </si>
  <si>
    <t>Рейка</t>
  </si>
  <si>
    <t>Тарпаулін</t>
  </si>
  <si>
    <t>Управління з питань надзвичайних ситуацій</t>
  </si>
  <si>
    <t>Бензиновий генератор</t>
  </si>
  <si>
    <t>ДЕПАРТАМЕНТ АВІЗО №7 від 09.01.2023</t>
  </si>
  <si>
    <t>ПЛАНШЕТ</t>
  </si>
  <si>
    <t>КГ № 118</t>
  </si>
  <si>
    <t>Благодійні внески за ЛЮТИЙ 2023 рік.</t>
  </si>
  <si>
    <t>КЗДО № 249</t>
  </si>
  <si>
    <t>Водонагрівач електричний</t>
  </si>
  <si>
    <t>КЗДО № 259</t>
  </si>
  <si>
    <t>Ліхтарі малі</t>
  </si>
  <si>
    <t>Каністра</t>
  </si>
  <si>
    <t>Тарілка одноразова</t>
  </si>
  <si>
    <t>Мішки</t>
  </si>
  <si>
    <t>Ковдра,подушка,матрац</t>
  </si>
  <si>
    <t>Пледи нові</t>
  </si>
  <si>
    <t>Подушка</t>
  </si>
  <si>
    <t>Картопляне пюре</t>
  </si>
  <si>
    <t>Хліб тривалого зберігання</t>
  </si>
  <si>
    <t>Консерви рибні</t>
  </si>
  <si>
    <t>Консерви м’ясні 2,9</t>
  </si>
  <si>
    <t>Консерви м’ясні 250/300г</t>
  </si>
  <si>
    <t>Паштет печинковий</t>
  </si>
  <si>
    <t>Кава</t>
  </si>
  <si>
    <t>Памперси</t>
  </si>
  <si>
    <t>Тампони жіночі</t>
  </si>
  <si>
    <t>Продуктові набори 3кг</t>
  </si>
  <si>
    <t>Батарейка</t>
  </si>
  <si>
    <t>компл.</t>
  </si>
  <si>
    <t>уп.</t>
  </si>
  <si>
    <t>Стакани паперові</t>
  </si>
  <si>
    <t>Масляний радіатор</t>
  </si>
  <si>
    <t>Департамент соц політики Інесса Благун</t>
  </si>
  <si>
    <t>Ковдра 145*215 см</t>
  </si>
  <si>
    <t>Подушка 50*70см</t>
  </si>
  <si>
    <t>Матрац ватний 70*190см</t>
  </si>
  <si>
    <t>Розкладачка м’яка "МОЗ", матрац м’який для розкладачки</t>
  </si>
  <si>
    <t>Ковдра</t>
  </si>
  <si>
    <t>Розчинна кава</t>
  </si>
  <si>
    <t>Ложки одноразові</t>
  </si>
  <si>
    <t>Прокладки,тампони,жіночі набори</t>
  </si>
  <si>
    <t>Тарілкі одноразові</t>
  </si>
  <si>
    <t>Туалетний папір стандарт</t>
  </si>
  <si>
    <t>Напій молочний</t>
  </si>
  <si>
    <t>Мішки для сміття</t>
  </si>
  <si>
    <t>Вода 5л.</t>
  </si>
  <si>
    <t>Продуктовий набір (Стернюк)</t>
  </si>
  <si>
    <t>Ліхтар середній</t>
  </si>
  <si>
    <t>від невідомого благодійника</t>
  </si>
  <si>
    <t>Павербанк,батарея</t>
  </si>
  <si>
    <t>Бензін-А95</t>
  </si>
  <si>
    <t>Машина пральна ІНДЕЗІТ</t>
  </si>
  <si>
    <t>Памперси дитячі</t>
  </si>
  <si>
    <t>Молочні коктелі</t>
  </si>
  <si>
    <t>Засоби жіночої гігієни</t>
  </si>
  <si>
    <t>Мішок білий</t>
  </si>
  <si>
    <t>Аптечка медична</t>
  </si>
  <si>
    <t>Ліхтарик середній</t>
  </si>
  <si>
    <t>Кава розчинна</t>
  </si>
  <si>
    <t>Продовольчий набір</t>
  </si>
  <si>
    <t>Вода 5л</t>
  </si>
  <si>
    <t>Какао-порошок</t>
  </si>
  <si>
    <t>Ліхтарик малий</t>
  </si>
  <si>
    <t>бан.</t>
  </si>
  <si>
    <t>Дизельне паливо</t>
  </si>
  <si>
    <t>Павкрбанк,батарея</t>
  </si>
  <si>
    <t>Ліхтар малий</t>
  </si>
  <si>
    <t>К-т батарейок</t>
  </si>
  <si>
    <t>К-т (ковдра,матрац,подушка)</t>
  </si>
  <si>
    <t>Вода(1л)</t>
  </si>
  <si>
    <t>Мило господарське</t>
  </si>
  <si>
    <t>Тарілки одноразові</t>
  </si>
  <si>
    <t>Консерви м’ясні</t>
  </si>
  <si>
    <t>Кукурудзяні хлоп’я</t>
  </si>
  <si>
    <t>Молоко сгущене</t>
  </si>
  <si>
    <t>Тушонка м’ясна</t>
  </si>
  <si>
    <t>Родзінки (1кг)</t>
  </si>
  <si>
    <t xml:space="preserve">Набір харчовий </t>
  </si>
  <si>
    <t>б.</t>
  </si>
  <si>
    <t>Скрветки вологі</t>
  </si>
  <si>
    <t>Пюре</t>
  </si>
  <si>
    <t xml:space="preserve">Паштет курячий </t>
  </si>
  <si>
    <t>Філтри для води</t>
  </si>
  <si>
    <t>КГ№ 74</t>
  </si>
  <si>
    <t>від батьків</t>
  </si>
  <si>
    <t>Пісок</t>
  </si>
  <si>
    <t>Шпаклівка (25)</t>
  </si>
  <si>
    <t>Шпатлівка фініш (5)</t>
  </si>
  <si>
    <t>Ковдра,матрац, подушка</t>
  </si>
  <si>
    <t>Каністра 20л</t>
  </si>
  <si>
    <t>Вода 1.5л.</t>
  </si>
  <si>
    <t>Консерви м’ясні 300г</t>
  </si>
  <si>
    <t>Жіночі набори</t>
  </si>
  <si>
    <t>Серветка волога</t>
  </si>
  <si>
    <t>Ліхтарик маленький</t>
  </si>
  <si>
    <t>МОМ</t>
  </si>
  <si>
    <t>Електрочайник</t>
  </si>
  <si>
    <t>Комод пластиковий</t>
  </si>
  <si>
    <t>Холодильник</t>
  </si>
  <si>
    <t>Вішалка для одягу</t>
  </si>
  <si>
    <t>Морозильна камера</t>
  </si>
  <si>
    <t>Гігієнічний набір</t>
  </si>
  <si>
    <t>набір</t>
  </si>
  <si>
    <t>1113/1812/2</t>
  </si>
  <si>
    <t>611021  0613230</t>
  </si>
  <si>
    <t>20/17</t>
  </si>
  <si>
    <t xml:space="preserve">Радіатор </t>
  </si>
  <si>
    <t>Віник</t>
  </si>
  <si>
    <t>Чайник електричний</t>
  </si>
  <si>
    <t>Компакт церсаніт</t>
  </si>
  <si>
    <t>Труба</t>
  </si>
  <si>
    <t>Кран</t>
  </si>
  <si>
    <t>Гофра унітазна</t>
  </si>
  <si>
    <t>Тройник</t>
  </si>
  <si>
    <t>Зошит А5</t>
  </si>
  <si>
    <t>ЛЕД лампа</t>
  </si>
  <si>
    <t>Диск по дереву</t>
  </si>
  <si>
    <t>Бур Зенит</t>
  </si>
  <si>
    <t>Тонер</t>
  </si>
  <si>
    <t>Чорнило</t>
  </si>
  <si>
    <t>Диск по металу</t>
  </si>
  <si>
    <t>Скотч двусторонній</t>
  </si>
  <si>
    <t>Резина для тачки</t>
  </si>
  <si>
    <t>Мастило для ел. Пили</t>
  </si>
  <si>
    <t>Мастило д/генератора</t>
  </si>
  <si>
    <t>Перфлікс</t>
  </si>
  <si>
    <t>Світильник</t>
  </si>
  <si>
    <t xml:space="preserve">Провід </t>
  </si>
  <si>
    <t>Кабель силовий</t>
  </si>
  <si>
    <t>Труба гофрована</t>
  </si>
  <si>
    <t>Рукавички робочі</t>
  </si>
  <si>
    <t xml:space="preserve">Розетка </t>
  </si>
  <si>
    <t>Вилка з заземленням</t>
  </si>
  <si>
    <t>Ізоляційна стрічка</t>
  </si>
  <si>
    <t>Кабель КГ 0,66 КВ</t>
  </si>
  <si>
    <t>ЛВ 700 світлодіодна</t>
  </si>
  <si>
    <t>Стяжки нейлонові</t>
  </si>
  <si>
    <t>Вита пара провід</t>
  </si>
  <si>
    <t>Замок дверний</t>
  </si>
  <si>
    <t>Картридж для принтера</t>
  </si>
  <si>
    <t xml:space="preserve">Ліхтарі </t>
  </si>
  <si>
    <t>Каністри 20л</t>
  </si>
  <si>
    <t>Картопляне пюре 4кг</t>
  </si>
  <si>
    <t>Вода 1,5л</t>
  </si>
  <si>
    <t>РАЗОМ:</t>
  </si>
  <si>
    <t>Разом по 1010</t>
  </si>
  <si>
    <t>Разом за лютий по КЗШ:</t>
  </si>
  <si>
    <t>Невідомий благодійник</t>
  </si>
  <si>
    <t>1514/2275</t>
  </si>
  <si>
    <t>Морозильний лар</t>
  </si>
  <si>
    <t>Плитка стельова</t>
  </si>
  <si>
    <t>Клей для плитки</t>
  </si>
  <si>
    <t>Щітка малярна</t>
  </si>
  <si>
    <t>Макловіца</t>
  </si>
  <si>
    <t>Грунтовка</t>
  </si>
  <si>
    <t>Перчатки гумові</t>
  </si>
  <si>
    <t>Уайт спірит(5л)</t>
  </si>
  <si>
    <t xml:space="preserve">Сік </t>
  </si>
  <si>
    <t>Пюре дитяче</t>
  </si>
  <si>
    <t>Продукти швидкого приготування</t>
  </si>
  <si>
    <t xml:space="preserve">Спальний мішок </t>
  </si>
  <si>
    <t>Бензин А 95</t>
  </si>
  <si>
    <t>20/16</t>
  </si>
  <si>
    <t>Ліхтарі</t>
  </si>
  <si>
    <t>Ковдра,матрац,подушка</t>
  </si>
  <si>
    <t>Хліб довготривалого зберігання</t>
  </si>
  <si>
    <t>Бензин А95</t>
  </si>
  <si>
    <t>Каністри</t>
  </si>
  <si>
    <t>Кортопляне пюре, 4кг</t>
  </si>
  <si>
    <t>банка</t>
  </si>
  <si>
    <t>Від батьків</t>
  </si>
  <si>
    <t>Графічний планшет</t>
  </si>
  <si>
    <t>Довіра</t>
  </si>
  <si>
    <t>Мікрофон</t>
  </si>
  <si>
    <t>Костюми різні</t>
  </si>
  <si>
    <t>Разом за лютий по ПНЗ:</t>
  </si>
  <si>
    <t>Разом по всім закладам</t>
  </si>
  <si>
    <t xml:space="preserve">Планшети КЗШ </t>
  </si>
  <si>
    <t>Планшети КЗШ+ Довыра</t>
  </si>
  <si>
    <t>Благодійні внески за березень 2023 рік.</t>
  </si>
  <si>
    <t>"ЦПРПП" КМР</t>
  </si>
  <si>
    <t>Підручники</t>
  </si>
  <si>
    <t>КЗДО № 42</t>
  </si>
  <si>
    <t>Машина сушильна</t>
  </si>
  <si>
    <t>КЗДО № 202</t>
  </si>
  <si>
    <t>КЗДО № 234</t>
  </si>
  <si>
    <t>Разом за травень по КЗДО:</t>
  </si>
  <si>
    <t>Сік 200гр.</t>
  </si>
  <si>
    <t>Продукти швидкого харчування</t>
  </si>
  <si>
    <t xml:space="preserve">Мило </t>
  </si>
  <si>
    <t>Печиво різне</t>
  </si>
  <si>
    <t>Дитяче харчування</t>
  </si>
  <si>
    <t>Різноманітні крупи</t>
  </si>
  <si>
    <t>Протеїн коктель</t>
  </si>
  <si>
    <t>Гігієнічні набори</t>
  </si>
  <si>
    <t>Круасани</t>
  </si>
  <si>
    <t>Вафлі</t>
  </si>
  <si>
    <t>Соки</t>
  </si>
  <si>
    <t>Від невідомого благодійника</t>
  </si>
  <si>
    <t>Машина сушильна Самсунг</t>
  </si>
  <si>
    <t>Крісло мішок</t>
  </si>
  <si>
    <t>Дошка для просування</t>
  </si>
  <si>
    <t>Миючий засіб для підлогі</t>
  </si>
  <si>
    <t>Рукавички універсальні</t>
  </si>
  <si>
    <t>Пральний порошок (10кг.)</t>
  </si>
  <si>
    <t>Термопот для гарячих напоїв</t>
  </si>
  <si>
    <t>Складне ліжко з матрацем</t>
  </si>
  <si>
    <t>Сітьовий подовжувач</t>
  </si>
  <si>
    <t>Одноразовий посуд на 6 персон</t>
  </si>
  <si>
    <t>Свічки 5 од/уп</t>
  </si>
  <si>
    <t>Сік фруктовий</t>
  </si>
  <si>
    <t xml:space="preserve">Солодощі </t>
  </si>
  <si>
    <t>Шпаклівка старт</t>
  </si>
  <si>
    <t>Водоімульсіонка</t>
  </si>
  <si>
    <t>Емаль</t>
  </si>
  <si>
    <t>Розчинник</t>
  </si>
  <si>
    <t>ЛЕД світильник</t>
  </si>
  <si>
    <t>Терка</t>
  </si>
  <si>
    <t>Сітка абразівна</t>
  </si>
  <si>
    <t>Перфокут</t>
  </si>
  <si>
    <t>Печиво різноманітне</t>
  </si>
  <si>
    <t>шт/кг</t>
  </si>
  <si>
    <t>б</t>
  </si>
  <si>
    <t>Свчкі 5 од/уп</t>
  </si>
  <si>
    <t>Ліхтарики</t>
  </si>
  <si>
    <t>Мило</t>
  </si>
  <si>
    <t>Засіб для миття підлоги</t>
  </si>
  <si>
    <t>Дитячий магнітний мольберт</t>
  </si>
  <si>
    <t>пак</t>
  </si>
  <si>
    <t xml:space="preserve">Цукор </t>
  </si>
  <si>
    <t>Ємкість для води на 750 л</t>
  </si>
  <si>
    <t>Цукор в стіках</t>
  </si>
  <si>
    <t>Продути швидкого харчування</t>
  </si>
  <si>
    <t>Машина пральна Самсунг</t>
  </si>
  <si>
    <t>Вогнегасник</t>
  </si>
  <si>
    <t>Модульний дитячий килимок-пазли</t>
  </si>
  <si>
    <t>Дитячий сухий басейн</t>
  </si>
  <si>
    <t>БО "Українська освітня платформа"</t>
  </si>
  <si>
    <t>Ноутбук НР</t>
  </si>
  <si>
    <t>1812/4</t>
  </si>
  <si>
    <t>Папір офісний</t>
  </si>
  <si>
    <t xml:space="preserve">Ліхтар </t>
  </si>
  <si>
    <t>Ємність для води 750л.</t>
  </si>
  <si>
    <t>Обігрівач з комплектуючими</t>
  </si>
  <si>
    <t>Фільтри Для води</t>
  </si>
  <si>
    <t>Благодійні внески за квітень 2023 рік.</t>
  </si>
  <si>
    <t>Генератор Disel Power</t>
  </si>
  <si>
    <t>ФОП Дзарасова О.О.</t>
  </si>
  <si>
    <t>1511/5а</t>
  </si>
  <si>
    <t>КЄКВЕ</t>
  </si>
  <si>
    <t>Вода</t>
  </si>
  <si>
    <t>Обігрівач електричний</t>
  </si>
  <si>
    <t>Перегородка кімнатна</t>
  </si>
  <si>
    <t>Набір для дитячої кімнати</t>
  </si>
  <si>
    <t>АСTED</t>
  </si>
  <si>
    <t>Пральна машина</t>
  </si>
  <si>
    <t>Електричний подовжувач</t>
  </si>
  <si>
    <t>WiFi роутер</t>
  </si>
  <si>
    <t>Бактерицидний рециркулятор</t>
  </si>
  <si>
    <t>Обігрівач для кімнати</t>
  </si>
  <si>
    <t>Універсальний засіб</t>
  </si>
  <si>
    <t>Рукавички латексні</t>
  </si>
  <si>
    <t>Рукавиці нітрилові</t>
  </si>
  <si>
    <t>Миючий засіб для підлоги</t>
  </si>
  <si>
    <t>Губка кухонна</t>
  </si>
  <si>
    <t>Засіб для чищення</t>
  </si>
  <si>
    <t>Миючий засіб для сантехніки</t>
  </si>
  <si>
    <t>Білизна</t>
  </si>
  <si>
    <t>Підгузники</t>
  </si>
  <si>
    <t>Ганчирка для підлоги</t>
  </si>
  <si>
    <t>Серветки для прибирання</t>
  </si>
  <si>
    <t>Шкребок кухонний</t>
  </si>
  <si>
    <t>Мультиварка</t>
  </si>
  <si>
    <t>Чайник пластиковий</t>
  </si>
  <si>
    <t>Праска</t>
  </si>
  <si>
    <t>Каркаси для сушки білизни</t>
  </si>
  <si>
    <t>Ключ трубний</t>
  </si>
  <si>
    <t>Драбина універсальна</t>
  </si>
  <si>
    <t>Шліф машина кутова болгарка</t>
  </si>
  <si>
    <t>Перфоратор</t>
  </si>
  <si>
    <t>Мережевий подовжувач</t>
  </si>
  <si>
    <t>Подовжувач на катушці</t>
  </si>
  <si>
    <t>Набір інструментів в сумці</t>
  </si>
  <si>
    <t>Грязезахист на вхід Гумове</t>
  </si>
  <si>
    <t>Порохотяг</t>
  </si>
  <si>
    <t>Акумуляторний шурупокрут</t>
  </si>
  <si>
    <t>Мультиметр цифровий</t>
  </si>
  <si>
    <t>Складні стільці</t>
  </si>
  <si>
    <t>БФП ксерокс</t>
  </si>
  <si>
    <t>Флеш накопичувач</t>
  </si>
  <si>
    <t>Шафа для одягу</t>
  </si>
  <si>
    <t>Рукавиці робочі</t>
  </si>
  <si>
    <t>Папір офісний 5 шт</t>
  </si>
  <si>
    <t>Донор</t>
  </si>
  <si>
    <t>Чілдрен</t>
  </si>
  <si>
    <t>Акт пр-пер</t>
  </si>
  <si>
    <t>Договір прямі постаки</t>
  </si>
  <si>
    <t>Генератор Gucbir GJB-9500-E</t>
  </si>
  <si>
    <t>ЮНІСЕФ</t>
  </si>
  <si>
    <t>Lions of Deutschlend</t>
  </si>
  <si>
    <t xml:space="preserve"> Планшет Lenovo M10</t>
  </si>
  <si>
    <t xml:space="preserve"> Хромбук Samsung Galaxy Chromebook</t>
  </si>
  <si>
    <t>HEKS Eper</t>
  </si>
  <si>
    <t>ГО " Набат Кривбас"</t>
  </si>
  <si>
    <t>Праска для сушки білизни</t>
  </si>
  <si>
    <t>Сетьовий подовжувач</t>
  </si>
  <si>
    <t>Поверхня електрична 4 комф</t>
  </si>
  <si>
    <t>Засіб для чищення сантехніки</t>
  </si>
  <si>
    <t xml:space="preserve">Засіб для чищення </t>
  </si>
  <si>
    <t>Засіб для посуду</t>
  </si>
  <si>
    <t>Рукавички нітрілові</t>
  </si>
  <si>
    <t>Підгузники дитячі</t>
  </si>
  <si>
    <t>Разом за квітень по КЗШ:</t>
  </si>
  <si>
    <t>ДЮСШ № 8</t>
  </si>
  <si>
    <t>Разом по ДЮСШ:</t>
  </si>
  <si>
    <t>ГО "Агенція розвитку "Урбаністичне місто"</t>
  </si>
  <si>
    <t>Міжнародна організація Альянс громадського здоров’я</t>
  </si>
  <si>
    <t>Портативна електростанція</t>
  </si>
  <si>
    <t>договір пряма поставка</t>
  </si>
  <si>
    <t>Сонячні панелі</t>
  </si>
  <si>
    <t>Генератор дизельний однофазний</t>
  </si>
  <si>
    <t>Газова плита</t>
  </si>
  <si>
    <t>Керамічний обігрівач</t>
  </si>
  <si>
    <t>Електросковорода</t>
  </si>
  <si>
    <t>Ліхтар кемпінговий</t>
  </si>
  <si>
    <t>Мережевий фільтр</t>
  </si>
  <si>
    <t>Картридж газовий</t>
  </si>
  <si>
    <t>КПНЗ МАНДРІВНИК</t>
  </si>
  <si>
    <t>РАЗОМ по ПНЗ</t>
  </si>
  <si>
    <t>ЦДЮТ СОНЯХ</t>
  </si>
  <si>
    <t>КЗДО № 14</t>
  </si>
  <si>
    <t>КЗДО № 57</t>
  </si>
  <si>
    <t>КЗДО № 81</t>
  </si>
  <si>
    <t>КЗДО № 89</t>
  </si>
  <si>
    <t>КЗДО № 151</t>
  </si>
  <si>
    <t>КЗДО № 190</t>
  </si>
  <si>
    <t>КЗДО № 194</t>
  </si>
  <si>
    <t>КЗДО № 222</t>
  </si>
  <si>
    <t>КЗДО № 254</t>
  </si>
  <si>
    <t>КЗДО № 261</t>
  </si>
  <si>
    <t>КЗДО № 300</t>
  </si>
  <si>
    <t>КЗДО № 303</t>
  </si>
  <si>
    <t>Разом по всім закладам за березень</t>
  </si>
  <si>
    <t>Благодійні внески КГ № 14</t>
  </si>
  <si>
    <t>КГ №17</t>
  </si>
  <si>
    <t>Благодійні внески за травень 2023 рік.</t>
  </si>
  <si>
    <t>Інституційний гігієнічний набір для шкіл (тип S на 50 осіб, 3 місяці)</t>
  </si>
  <si>
    <t>КГ №51</t>
  </si>
  <si>
    <t>Полиця з нержавіючого металу</t>
  </si>
  <si>
    <t>Умивальник зварний</t>
  </si>
  <si>
    <t>Стіл виробничий</t>
  </si>
  <si>
    <t>Вішалка підлогова</t>
  </si>
  <si>
    <t>Промислова м’ясорубка</t>
  </si>
  <si>
    <t>Мотокоса</t>
  </si>
  <si>
    <t>Вікно пластикове глухе</t>
  </si>
  <si>
    <t>Тример електричний</t>
  </si>
  <si>
    <t xml:space="preserve">від батьків </t>
  </si>
  <si>
    <t>Мотокоса бензинова</t>
  </si>
  <si>
    <t>Інституційний гігієнічний набір для дитячих садосків(тип S на 30 осіб, 3 місяці)</t>
  </si>
  <si>
    <t>Інституційний гігієнічний набір для дитячих садків (тип S на 30 осіб, 3 місяці)</t>
  </si>
  <si>
    <t>Деззасіб для рук (1л.)</t>
  </si>
  <si>
    <t>Маска медична</t>
  </si>
  <si>
    <t>КЗДО № 30</t>
  </si>
  <si>
    <t>КЗДО № 264</t>
  </si>
  <si>
    <t>Благодійні внески за червень 2023 рік.</t>
  </si>
  <si>
    <t>Проектор з кабелем</t>
  </si>
  <si>
    <t>БФП з кабелем</t>
  </si>
  <si>
    <t>Проекційний екран</t>
  </si>
  <si>
    <t>Ноутбук</t>
  </si>
  <si>
    <t>Сейв Зе Чілдрен</t>
  </si>
  <si>
    <t>Вода питна</t>
  </si>
  <si>
    <t>КМЦСС</t>
  </si>
  <si>
    <t>АКТЕД</t>
  </si>
  <si>
    <t>Набір гігієнічний</t>
  </si>
  <si>
    <t>Водонагрівач електричний 100л</t>
  </si>
  <si>
    <t>ГО "Волонтерський центр солдатський привал"</t>
  </si>
  <si>
    <t>Водяний фільтр</t>
  </si>
  <si>
    <t>Будівельні товари (штукатурка,шпаклівка,фарба,вапно,сітка,шпатель тощо)</t>
  </si>
  <si>
    <t>Бензокоса</t>
  </si>
  <si>
    <t xml:space="preserve"> Господарські товари</t>
  </si>
  <si>
    <t>шт,кг,уп</t>
  </si>
  <si>
    <t>МКВ - Biro mit System</t>
  </si>
  <si>
    <t>МКВ - Biro mit System (семінар)</t>
  </si>
  <si>
    <t>Стіл</t>
  </si>
  <si>
    <t>Крісло поворотне</t>
  </si>
  <si>
    <t>КПШ 240</t>
  </si>
  <si>
    <t>Разом по КЗШ:</t>
  </si>
  <si>
    <t>Художній куточок</t>
  </si>
  <si>
    <t>Разом по КЗДО:</t>
  </si>
  <si>
    <t>ПНЗ "Мандрівник"</t>
  </si>
  <si>
    <t>ФОП Курочкін Г.М.</t>
  </si>
  <si>
    <t>Жумар</t>
  </si>
  <si>
    <t>Карабін</t>
  </si>
  <si>
    <t>Вісімка</t>
  </si>
  <si>
    <t>Система</t>
  </si>
  <si>
    <t>Грудна обв’язка</t>
  </si>
  <si>
    <t>Разом по ПНЗ:</t>
  </si>
  <si>
    <t>Пензлик</t>
  </si>
  <si>
    <t>БО" Благодійний фонд "Восток-СОС"</t>
  </si>
  <si>
    <t>КМ ЦСС</t>
  </si>
  <si>
    <t>Ukraine House DC Foundation (Фундація Олени Зеленської)</t>
  </si>
  <si>
    <t>0617520</t>
  </si>
  <si>
    <t>Разом за  липень по КЗШ:</t>
  </si>
  <si>
    <t/>
  </si>
  <si>
    <t>0611021</t>
  </si>
  <si>
    <t>ФОП Дзарасова</t>
  </si>
  <si>
    <t>Сейв Зе  Чилдрен</t>
  </si>
  <si>
    <t>0613230</t>
  </si>
  <si>
    <t>Вода питна негазована</t>
  </si>
  <si>
    <t>1812/1</t>
  </si>
  <si>
    <t>Листівка А-4</t>
  </si>
  <si>
    <t>Листівка А-5</t>
  </si>
  <si>
    <t>Шпаклівка</t>
  </si>
  <si>
    <t>Водоемульсійна фарба</t>
  </si>
  <si>
    <t>Сітка затірочна</t>
  </si>
  <si>
    <t>т</t>
  </si>
  <si>
    <t>Вікно металопластиколве</t>
  </si>
  <si>
    <t>1513</t>
  </si>
  <si>
    <t>Зелений Центр МЕТІНВЕСТ ГС</t>
  </si>
  <si>
    <t>Макловиця</t>
  </si>
  <si>
    <t>К-т рукавичок</t>
  </si>
  <si>
    <t>Вапно</t>
  </si>
  <si>
    <t>пак.</t>
  </si>
  <si>
    <t>Телевізор JVC CT-50</t>
  </si>
  <si>
    <t>Разом по всім закладам за ЛИПЕНЬ 2023</t>
  </si>
  <si>
    <t>Всього</t>
  </si>
  <si>
    <t>КЗДО № 32</t>
  </si>
  <si>
    <t>КЗДО № 90</t>
  </si>
  <si>
    <t>КЗДО № 156</t>
  </si>
  <si>
    <t>КЗДО № 191</t>
  </si>
  <si>
    <t>КЗДО № 197</t>
  </si>
  <si>
    <t>КЗДО № 250</t>
  </si>
  <si>
    <t>КЗДО № 295</t>
  </si>
  <si>
    <t>КЗДО № 301</t>
  </si>
  <si>
    <t>0615031</t>
  </si>
  <si>
    <t>0611070</t>
  </si>
  <si>
    <t>0611010</t>
  </si>
  <si>
    <t>Груповий набір Child kit</t>
  </si>
  <si>
    <t>Індивідуальний набір Kit HB-ECCD</t>
  </si>
  <si>
    <t>Набір спортивний</t>
  </si>
  <si>
    <t>Благодійні внески за ЛИПЕНЬ 2023 рік.</t>
  </si>
  <si>
    <t>Благодійні внески за ЛИПЕНЬ  2023 рік.</t>
  </si>
  <si>
    <t>Благодійні внески за СЕРПЕНЬ  2023 рік.</t>
  </si>
  <si>
    <t>Граблі віялові</t>
  </si>
  <si>
    <t>Тачка одноколісна</t>
  </si>
  <si>
    <t>Совкова лопата</t>
  </si>
  <si>
    <t>Сокира-колун</t>
  </si>
  <si>
    <t>Пила по дереву</t>
  </si>
  <si>
    <t>Мітла</t>
  </si>
  <si>
    <t>Ножиці садові</t>
  </si>
  <si>
    <t>Сікатор</t>
  </si>
  <si>
    <t>Рукавички</t>
  </si>
  <si>
    <t>Лопата штикова з держаком</t>
  </si>
  <si>
    <t>Представництво Сейв Зе Чілдрен Інтернейшен в Україні</t>
  </si>
  <si>
    <t>Вода питна негазована (18,9л.)</t>
  </si>
  <si>
    <t>Юнісеф</t>
  </si>
  <si>
    <t>Листівки А-4</t>
  </si>
  <si>
    <t>Листівки А-5</t>
  </si>
  <si>
    <t>Меблева стінка+ тумба</t>
  </si>
  <si>
    <t>Телевізор Лібертон</t>
  </si>
  <si>
    <t>Шпатлівка фініш,25кг</t>
  </si>
  <si>
    <t>Цемент,25кг</t>
  </si>
  <si>
    <t>Грунтовка,1л</t>
  </si>
  <si>
    <t>Крейда клейова,1кг</t>
  </si>
  <si>
    <t>Вапно гашене,2кг</t>
  </si>
  <si>
    <t>л.</t>
  </si>
  <si>
    <t>від населення</t>
  </si>
  <si>
    <t>Ковдра б/в</t>
  </si>
  <si>
    <t>Подушка б/в</t>
  </si>
  <si>
    <t>Простирадло б/в</t>
  </si>
  <si>
    <t>Наволочка б/в</t>
  </si>
  <si>
    <t>рушник б/в</t>
  </si>
  <si>
    <t>Контейнер для зберігання води (Б/У) 1000л.</t>
  </si>
  <si>
    <t>0611025</t>
  </si>
  <si>
    <t>1113</t>
  </si>
  <si>
    <t>Благодійна організація (Синьо-жовтий хрест)</t>
  </si>
  <si>
    <t>Благодійні внески за СЕРПЕНЬ2023 рік.</t>
  </si>
  <si>
    <t>РАЗОМпо КЗДО::</t>
  </si>
  <si>
    <t>Разом за  серпень по КЗШ:</t>
  </si>
  <si>
    <t>Лампа сонячної батареї</t>
  </si>
  <si>
    <t>Благодійні внески за ВЕРЕСЕНЬ 2023 рік.</t>
  </si>
  <si>
    <t>ФОП Дзарасов О.о.</t>
  </si>
  <si>
    <t>"Представництво Сейв зе Чілдрен Інтернешнл в Україні"</t>
  </si>
  <si>
    <t xml:space="preserve">Вода питна </t>
  </si>
  <si>
    <t>ПАТ "Кривий Рг Цемент"</t>
  </si>
  <si>
    <t>Цемент ШПЦ</t>
  </si>
  <si>
    <t>Щебень</t>
  </si>
  <si>
    <t>Відсів</t>
  </si>
  <si>
    <t>Фарба фасадна</t>
  </si>
  <si>
    <t>Клей для керамограніту</t>
  </si>
  <si>
    <t>Грунт</t>
  </si>
  <si>
    <t>Колор</t>
  </si>
  <si>
    <t>Фарба для підлоги</t>
  </si>
  <si>
    <t>Самовирівнювач</t>
  </si>
  <si>
    <t>Піна</t>
  </si>
  <si>
    <t>Сольвент-розчинник</t>
  </si>
  <si>
    <t>мастило для генератора</t>
  </si>
  <si>
    <t>л,</t>
  </si>
  <si>
    <t>Пістолет для піни</t>
  </si>
  <si>
    <t>Валік велюровий</t>
  </si>
  <si>
    <t>Склоріз</t>
  </si>
  <si>
    <t>Круг відрізний</t>
  </si>
  <si>
    <t>фільтр для очищення води</t>
  </si>
  <si>
    <t>Тормозна ділянка для принтера</t>
  </si>
  <si>
    <t>Фотобарабан для принтера</t>
  </si>
  <si>
    <t>Фарба для принтера</t>
  </si>
  <si>
    <t>Блок живлення для принтера</t>
  </si>
  <si>
    <t>Файли</t>
  </si>
  <si>
    <t>Картртджне волокно для принтера</t>
  </si>
  <si>
    <t>Ролик захвату для принтера</t>
  </si>
  <si>
    <t>Ліска для тримера</t>
  </si>
  <si>
    <t>Мітла з держаком</t>
  </si>
  <si>
    <t>Зарядка для телефону</t>
  </si>
  <si>
    <t>Благодійний фонд "Посмішка"</t>
  </si>
  <si>
    <t>Прим.комп.прог.MICROSOFT</t>
  </si>
  <si>
    <t>Монітор</t>
  </si>
  <si>
    <t>Проектор</t>
  </si>
  <si>
    <t>Миша</t>
  </si>
  <si>
    <t>Екран</t>
  </si>
  <si>
    <t>Презентер</t>
  </si>
  <si>
    <t>Клавіатура</t>
  </si>
  <si>
    <t>Колонки</t>
  </si>
  <si>
    <t>Фільтр мережевий</t>
  </si>
  <si>
    <t>БФП</t>
  </si>
  <si>
    <t>Пачкорд</t>
  </si>
  <si>
    <t>Комп’ютер</t>
  </si>
  <si>
    <t xml:space="preserve">Гарнітура </t>
  </si>
  <si>
    <t xml:space="preserve"> Роутер</t>
  </si>
  <si>
    <t>від мерії міста ЕСПО (фінляндія)</t>
  </si>
  <si>
    <t>Ноутбук вживний НР</t>
  </si>
  <si>
    <t>Ноутбук вживний DELL</t>
  </si>
  <si>
    <t>КЗ "Центр професійного розвитку педагогічних працівників" КМР</t>
  </si>
  <si>
    <t>Індивідуальний набір для вчителя</t>
  </si>
  <si>
    <t>Дошка</t>
  </si>
  <si>
    <t>Фанера</t>
  </si>
  <si>
    <t>КЗДО №300</t>
  </si>
  <si>
    <t>Газонокасарка електрична</t>
  </si>
  <si>
    <t>Комплект речей першої необхідності</t>
  </si>
  <si>
    <t>ЦБВО</t>
  </si>
  <si>
    <t>Найменування ТМЦ</t>
  </si>
  <si>
    <t>кількість</t>
  </si>
  <si>
    <t>сума</t>
  </si>
  <si>
    <t>ОСБ</t>
  </si>
  <si>
    <t>Масло моторне</t>
  </si>
  <si>
    <t>Електроковдра</t>
  </si>
  <si>
    <t>дошка</t>
  </si>
  <si>
    <t>фанера</t>
  </si>
  <si>
    <t>жовтень 2023 р</t>
  </si>
  <si>
    <t>од вим</t>
  </si>
  <si>
    <t>ціна</t>
  </si>
</sst>
</file>

<file path=xl/styles.xml><?xml version="1.0" encoding="utf-8"?>
<styleSheet xmlns="http://schemas.openxmlformats.org/spreadsheetml/2006/main">
  <numFmts count="1">
    <numFmt numFmtId="164" formatCode="#,##0.000"/>
  </numFmts>
  <fonts count="1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2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0" fillId="3" borderId="1" xfId="0" applyFill="1" applyBorder="1"/>
    <xf numFmtId="4" fontId="0" fillId="3" borderId="1" xfId="0" applyNumberFormat="1" applyFill="1" applyBorder="1"/>
    <xf numFmtId="0" fontId="0" fillId="4" borderId="1" xfId="0" applyFill="1" applyBorder="1"/>
    <xf numFmtId="4" fontId="0" fillId="4" borderId="1" xfId="0" applyNumberForma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5" borderId="1" xfId="0" applyNumberFormat="1" applyFill="1" applyBorder="1"/>
    <xf numFmtId="0" fontId="0" fillId="6" borderId="1" xfId="0" applyFill="1" applyBorder="1"/>
    <xf numFmtId="4" fontId="0" fillId="6" borderId="1" xfId="0" applyNumberFormat="1" applyFill="1" applyBorder="1"/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0" fillId="6" borderId="1" xfId="0" applyNumberForma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64" fontId="0" fillId="4" borderId="1" xfId="0" applyNumberFormat="1" applyFill="1" applyBorder="1"/>
    <xf numFmtId="0" fontId="0" fillId="4" borderId="1" xfId="0" applyFill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3" fillId="0" borderId="1" xfId="0" applyFont="1" applyBorder="1"/>
    <xf numFmtId="0" fontId="0" fillId="3" borderId="1" xfId="0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4" fontId="0" fillId="7" borderId="1" xfId="0" applyNumberFormat="1" applyFill="1" applyBorder="1"/>
    <xf numFmtId="4" fontId="0" fillId="8" borderId="1" xfId="0" applyNumberFormat="1" applyFill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0" fontId="5" fillId="0" borderId="1" xfId="0" applyFont="1" applyBorder="1" applyAlignment="1">
      <alignment wrapText="1"/>
    </xf>
    <xf numFmtId="4" fontId="5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4" fontId="5" fillId="4" borderId="1" xfId="0" applyNumberFormat="1" applyFont="1" applyFill="1" applyBorder="1"/>
    <xf numFmtId="0" fontId="5" fillId="4" borderId="1" xfId="0" applyNumberFormat="1" applyFont="1" applyFill="1" applyBorder="1" applyAlignment="1">
      <alignment horizontal="center"/>
    </xf>
    <xf numFmtId="4" fontId="6" fillId="4" borderId="1" xfId="0" applyNumberFormat="1" applyFont="1" applyFill="1" applyBorder="1"/>
    <xf numFmtId="0" fontId="6" fillId="4" borderId="1" xfId="0" applyFont="1" applyFill="1" applyBorder="1"/>
    <xf numFmtId="0" fontId="6" fillId="0" borderId="1" xfId="0" applyFont="1" applyBorder="1"/>
    <xf numFmtId="0" fontId="5" fillId="4" borderId="0" xfId="0" applyFont="1" applyFill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NumberFormat="1" applyFont="1" applyFill="1" applyBorder="1" applyAlignment="1">
      <alignment horizontal="center"/>
    </xf>
    <xf numFmtId="4" fontId="5" fillId="6" borderId="1" xfId="0" applyNumberFormat="1" applyFont="1" applyFill="1" applyBorder="1"/>
    <xf numFmtId="0" fontId="5" fillId="0" borderId="0" xfId="0" applyFont="1" applyAlignment="1">
      <alignment horizontal="center"/>
    </xf>
    <xf numFmtId="4" fontId="5" fillId="5" borderId="1" xfId="0" applyNumberFormat="1" applyFont="1" applyFill="1" applyBorder="1"/>
    <xf numFmtId="0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4" fontId="8" fillId="4" borderId="1" xfId="0" applyNumberFormat="1" applyFont="1" applyFill="1" applyBorder="1"/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/>
    </xf>
    <xf numFmtId="4" fontId="8" fillId="6" borderId="1" xfId="0" applyNumberFormat="1" applyFont="1" applyFill="1" applyBorder="1"/>
    <xf numFmtId="4" fontId="8" fillId="0" borderId="0" xfId="0" applyNumberFormat="1" applyFont="1"/>
    <xf numFmtId="4" fontId="8" fillId="5" borderId="1" xfId="0" applyNumberFormat="1" applyFont="1" applyFill="1" applyBorder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/>
    <xf numFmtId="0" fontId="5" fillId="9" borderId="1" xfId="0" applyFont="1" applyFill="1" applyBorder="1" applyAlignment="1">
      <alignment wrapText="1"/>
    </xf>
    <xf numFmtId="0" fontId="5" fillId="9" borderId="1" xfId="0" applyNumberFormat="1" applyFont="1" applyFill="1" applyBorder="1" applyAlignment="1">
      <alignment horizontal="center"/>
    </xf>
    <xf numFmtId="4" fontId="5" fillId="9" borderId="1" xfId="0" applyNumberFormat="1" applyFont="1" applyFill="1" applyBorder="1"/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10" borderId="1" xfId="0" applyFont="1" applyFill="1" applyBorder="1" applyAlignment="1">
      <alignment wrapText="1"/>
    </xf>
    <xf numFmtId="0" fontId="5" fillId="10" borderId="1" xfId="0" applyNumberFormat="1" applyFont="1" applyFill="1" applyBorder="1" applyAlignment="1">
      <alignment horizontal="center"/>
    </xf>
    <xf numFmtId="4" fontId="5" fillId="10" borderId="1" xfId="0" applyNumberFormat="1" applyFont="1" applyFill="1" applyBorder="1"/>
    <xf numFmtId="0" fontId="5" fillId="6" borderId="0" xfId="0" applyFont="1" applyFill="1"/>
    <xf numFmtId="0" fontId="5" fillId="6" borderId="0" xfId="0" applyNumberFormat="1" applyFont="1" applyFill="1" applyAlignment="1">
      <alignment horizontal="center"/>
    </xf>
    <xf numFmtId="4" fontId="5" fillId="6" borderId="0" xfId="0" applyNumberFormat="1" applyFont="1" applyFill="1"/>
    <xf numFmtId="4" fontId="9" fillId="6" borderId="0" xfId="0" applyNumberFormat="1" applyFont="1" applyFill="1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2" fillId="4" borderId="1" xfId="0" applyFont="1" applyFill="1" applyBorder="1"/>
    <xf numFmtId="0" fontId="5" fillId="6" borderId="2" xfId="0" applyFont="1" applyFill="1" applyBorder="1" applyAlignment="1"/>
    <xf numFmtId="0" fontId="5" fillId="6" borderId="3" xfId="0" applyFont="1" applyFill="1" applyBorder="1" applyAlignment="1"/>
    <xf numFmtId="0" fontId="5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wrapText="1"/>
    </xf>
    <xf numFmtId="0" fontId="10" fillId="6" borderId="1" xfId="0" applyFont="1" applyFill="1" applyBorder="1"/>
    <xf numFmtId="0" fontId="10" fillId="6" borderId="1" xfId="0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0" fontId="10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wrapText="1"/>
    </xf>
    <xf numFmtId="49" fontId="5" fillId="0" borderId="1" xfId="0" applyNumberFormat="1" applyFont="1" applyBorder="1"/>
    <xf numFmtId="0" fontId="7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NumberFormat="1" applyFont="1" applyFill="1" applyBorder="1" applyAlignment="1">
      <alignment horizontal="center" vertical="center"/>
    </xf>
    <xf numFmtId="4" fontId="7" fillId="11" borderId="1" xfId="0" applyNumberFormat="1" applyFont="1" applyFill="1" applyBorder="1" applyAlignment="1">
      <alignment horizontal="center" vertical="center"/>
    </xf>
    <xf numFmtId="4" fontId="5" fillId="11" borderId="1" xfId="0" applyNumberFormat="1" applyFont="1" applyFill="1" applyBorder="1"/>
    <xf numFmtId="0" fontId="5" fillId="11" borderId="1" xfId="0" applyFont="1" applyFill="1" applyBorder="1" applyAlignment="1">
      <alignment horizontal="center"/>
    </xf>
    <xf numFmtId="0" fontId="5" fillId="11" borderId="1" xfId="0" applyFont="1" applyFill="1" applyBorder="1"/>
    <xf numFmtId="0" fontId="5" fillId="11" borderId="1" xfId="0" applyFont="1" applyFill="1" applyBorder="1" applyAlignment="1">
      <alignment wrapText="1"/>
    </xf>
    <xf numFmtId="0" fontId="5" fillId="11" borderId="1" xfId="0" applyNumberFormat="1" applyFont="1" applyFill="1" applyBorder="1" applyAlignment="1">
      <alignment horizontal="center"/>
    </xf>
    <xf numFmtId="4" fontId="5" fillId="12" borderId="1" xfId="0" applyNumberFormat="1" applyFont="1" applyFill="1" applyBorder="1"/>
    <xf numFmtId="0" fontId="5" fillId="0" borderId="1" xfId="0" applyNumberFormat="1" applyFont="1" applyBorder="1" applyAlignment="1">
      <alignment horizontal="left"/>
    </xf>
    <xf numFmtId="2" fontId="5" fillId="4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/>
    </xf>
    <xf numFmtId="4" fontId="8" fillId="4" borderId="1" xfId="0" applyNumberFormat="1" applyFont="1" applyFill="1" applyBorder="1" applyAlignment="1">
      <alignment horizontal="right" vertical="center"/>
    </xf>
    <xf numFmtId="0" fontId="5" fillId="12" borderId="0" xfId="0" applyFont="1" applyFill="1"/>
    <xf numFmtId="0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13" borderId="1" xfId="0" applyFont="1" applyFill="1" applyBorder="1"/>
    <xf numFmtId="0" fontId="5" fillId="13" borderId="1" xfId="0" applyNumberFormat="1" applyFont="1" applyFill="1" applyBorder="1" applyAlignment="1">
      <alignment horizontal="center"/>
    </xf>
    <xf numFmtId="4" fontId="5" fillId="13" borderId="1" xfId="0" applyNumberFormat="1" applyFont="1" applyFill="1" applyBorder="1"/>
    <xf numFmtId="0" fontId="1" fillId="0" borderId="0" xfId="0" applyFont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" fontId="5" fillId="4" borderId="4" xfId="0" applyNumberFormat="1" applyFont="1" applyFill="1" applyBorder="1" applyAlignment="1">
      <alignment vertical="center"/>
    </xf>
    <xf numFmtId="4" fontId="5" fillId="4" borderId="6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5" fillId="0" borderId="4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0"/>
  <sheetViews>
    <sheetView view="pageBreakPreview" zoomScale="60" workbookViewId="0">
      <selection activeCell="V6" sqref="V6"/>
    </sheetView>
  </sheetViews>
  <sheetFormatPr defaultRowHeight="15"/>
  <cols>
    <col min="1" max="1" width="3.85546875" style="107" customWidth="1"/>
    <col min="2" max="2" width="29.42578125" customWidth="1"/>
    <col min="3" max="3" width="28.42578125" customWidth="1"/>
    <col min="4" max="4" width="12.28515625" style="107" hidden="1" customWidth="1"/>
    <col min="5" max="5" width="0" style="107" hidden="1" customWidth="1"/>
    <col min="6" max="6" width="32.140625" customWidth="1"/>
    <col min="7" max="7" width="9.140625" customWidth="1"/>
    <col min="8" max="8" width="9.140625" style="25" customWidth="1"/>
    <col min="9" max="9" width="14.7109375" style="1" customWidth="1"/>
    <col min="10" max="10" width="13.85546875" style="1" customWidth="1"/>
    <col min="11" max="11" width="12.42578125" customWidth="1"/>
    <col min="12" max="12" width="20.7109375" customWidth="1"/>
  </cols>
  <sheetData>
    <row r="1" spans="1:15" ht="18.75">
      <c r="A1" s="174" t="s">
        <v>506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5" ht="45">
      <c r="A2" s="20" t="s">
        <v>0</v>
      </c>
      <c r="B2" s="2" t="s">
        <v>1</v>
      </c>
      <c r="C2" s="2" t="s">
        <v>2</v>
      </c>
      <c r="D2" s="11" t="s">
        <v>66</v>
      </c>
      <c r="E2" s="11" t="s">
        <v>4</v>
      </c>
      <c r="F2" s="2" t="s">
        <v>5</v>
      </c>
      <c r="G2" s="2" t="s">
        <v>6</v>
      </c>
      <c r="H2" s="21" t="s">
        <v>7</v>
      </c>
      <c r="I2" s="3" t="s">
        <v>8</v>
      </c>
      <c r="J2" s="3" t="s">
        <v>9</v>
      </c>
      <c r="K2" s="2" t="s">
        <v>67</v>
      </c>
    </row>
    <row r="3" spans="1:15">
      <c r="A3" s="11">
        <v>1</v>
      </c>
      <c r="B3" s="2" t="s">
        <v>68</v>
      </c>
      <c r="C3" s="10" t="s">
        <v>115</v>
      </c>
      <c r="D3" s="11">
        <v>611021</v>
      </c>
      <c r="E3" s="11">
        <v>1113</v>
      </c>
      <c r="F3" s="2" t="s">
        <v>116</v>
      </c>
      <c r="G3" s="2" t="s">
        <v>12</v>
      </c>
      <c r="H3" s="23">
        <v>1</v>
      </c>
      <c r="I3" s="9">
        <f>1169.22</f>
        <v>1169.22</v>
      </c>
      <c r="J3" s="9">
        <f>H3*I3</f>
        <v>1169.22</v>
      </c>
      <c r="K3" s="3"/>
    </row>
    <row r="4" spans="1:15">
      <c r="A4" s="11"/>
      <c r="B4" s="2" t="s">
        <v>68</v>
      </c>
      <c r="C4" s="10" t="s">
        <v>115</v>
      </c>
      <c r="D4" s="11">
        <v>611021</v>
      </c>
      <c r="E4" s="11">
        <v>1113</v>
      </c>
      <c r="F4" s="2" t="s">
        <v>117</v>
      </c>
      <c r="G4" s="2" t="s">
        <v>12</v>
      </c>
      <c r="H4" s="23">
        <v>1</v>
      </c>
      <c r="I4" s="9">
        <f>623.22</f>
        <v>623.22</v>
      </c>
      <c r="J4" s="9">
        <f t="shared" ref="J4:J5" si="0">H4*I4</f>
        <v>623.22</v>
      </c>
      <c r="K4" s="2"/>
    </row>
    <row r="5" spans="1:15">
      <c r="A5" s="11"/>
      <c r="B5" s="2" t="s">
        <v>68</v>
      </c>
      <c r="C5" s="10" t="s">
        <v>115</v>
      </c>
      <c r="D5" s="11">
        <v>611021</v>
      </c>
      <c r="E5" s="11">
        <v>1113</v>
      </c>
      <c r="F5" s="2" t="s">
        <v>118</v>
      </c>
      <c r="G5" s="2" t="s">
        <v>12</v>
      </c>
      <c r="H5" s="23">
        <v>1</v>
      </c>
      <c r="I5" s="9">
        <f>1091.22</f>
        <v>1091.22</v>
      </c>
      <c r="J5" s="9">
        <f t="shared" si="0"/>
        <v>1091.22</v>
      </c>
      <c r="K5" s="2"/>
    </row>
    <row r="6" spans="1:15">
      <c r="A6" s="11"/>
      <c r="B6" s="2" t="s">
        <v>68</v>
      </c>
      <c r="C6" s="10" t="s">
        <v>127</v>
      </c>
      <c r="D6" s="11">
        <v>611021</v>
      </c>
      <c r="E6" s="11">
        <v>1113</v>
      </c>
      <c r="F6" s="2" t="s">
        <v>135</v>
      </c>
      <c r="G6" s="2" t="s">
        <v>12</v>
      </c>
      <c r="H6" s="23">
        <v>7</v>
      </c>
      <c r="I6" s="9">
        <v>2430</v>
      </c>
      <c r="J6" s="9">
        <f t="shared" ref="J6:J20" si="1">H6*I6</f>
        <v>17010</v>
      </c>
      <c r="K6" s="2"/>
    </row>
    <row r="7" spans="1:15">
      <c r="A7" s="11"/>
      <c r="B7" s="2" t="s">
        <v>68</v>
      </c>
      <c r="C7" s="10" t="s">
        <v>127</v>
      </c>
      <c r="D7" s="11">
        <v>611021</v>
      </c>
      <c r="E7" s="11">
        <v>1113</v>
      </c>
      <c r="F7" s="2" t="s">
        <v>136</v>
      </c>
      <c r="G7" s="2" t="s">
        <v>12</v>
      </c>
      <c r="H7" s="23">
        <v>2</v>
      </c>
      <c r="I7" s="9">
        <v>3229.2</v>
      </c>
      <c r="J7" s="9">
        <f t="shared" si="1"/>
        <v>6458.4</v>
      </c>
      <c r="K7" s="2"/>
    </row>
    <row r="8" spans="1:15">
      <c r="A8" s="11"/>
      <c r="B8" s="2" t="s">
        <v>68</v>
      </c>
      <c r="C8" s="10" t="s">
        <v>115</v>
      </c>
      <c r="D8" s="11">
        <v>611021</v>
      </c>
      <c r="E8" s="11">
        <v>1113</v>
      </c>
      <c r="F8" s="2" t="s">
        <v>194</v>
      </c>
      <c r="G8" s="2" t="s">
        <v>12</v>
      </c>
      <c r="H8" s="23">
        <v>3</v>
      </c>
      <c r="I8" s="9">
        <f>1974.78</f>
        <v>1974.78</v>
      </c>
      <c r="J8" s="9">
        <f t="shared" si="1"/>
        <v>5924.34</v>
      </c>
      <c r="K8" s="2"/>
    </row>
    <row r="9" spans="1:15">
      <c r="A9" s="11"/>
      <c r="B9" s="2" t="s">
        <v>68</v>
      </c>
      <c r="C9" s="10" t="s">
        <v>115</v>
      </c>
      <c r="D9" s="11">
        <v>611021</v>
      </c>
      <c r="E9" s="11">
        <v>1113</v>
      </c>
      <c r="F9" s="2" t="s">
        <v>171</v>
      </c>
      <c r="G9" s="2" t="s">
        <v>12</v>
      </c>
      <c r="H9" s="23">
        <v>2</v>
      </c>
      <c r="I9" s="9">
        <v>5046.66</v>
      </c>
      <c r="J9" s="9">
        <f t="shared" si="1"/>
        <v>10093.32</v>
      </c>
      <c r="K9" s="2"/>
    </row>
    <row r="10" spans="1:15">
      <c r="A10" s="11"/>
      <c r="B10" s="2" t="s">
        <v>68</v>
      </c>
      <c r="C10" s="10" t="s">
        <v>258</v>
      </c>
      <c r="D10" s="11">
        <v>611021</v>
      </c>
      <c r="E10" s="11">
        <v>1113</v>
      </c>
      <c r="F10" s="2" t="s">
        <v>259</v>
      </c>
      <c r="G10" s="2" t="s">
        <v>12</v>
      </c>
      <c r="H10" s="23">
        <v>5</v>
      </c>
      <c r="I10" s="9">
        <v>430</v>
      </c>
      <c r="J10" s="9">
        <f t="shared" si="1"/>
        <v>2150</v>
      </c>
      <c r="K10" s="2"/>
    </row>
    <row r="11" spans="1:15">
      <c r="A11" s="11"/>
      <c r="B11" s="2" t="s">
        <v>68</v>
      </c>
      <c r="C11" s="10" t="s">
        <v>258</v>
      </c>
      <c r="D11" s="11">
        <v>613242</v>
      </c>
      <c r="E11" s="11">
        <v>1113</v>
      </c>
      <c r="F11" s="2" t="s">
        <v>260</v>
      </c>
      <c r="G11" s="2" t="s">
        <v>12</v>
      </c>
      <c r="H11" s="23">
        <v>52</v>
      </c>
      <c r="I11" s="9">
        <v>670</v>
      </c>
      <c r="J11" s="9">
        <f t="shared" si="1"/>
        <v>34840</v>
      </c>
      <c r="K11" s="2"/>
    </row>
    <row r="12" spans="1:15">
      <c r="A12" s="11"/>
      <c r="B12" s="2" t="s">
        <v>68</v>
      </c>
      <c r="C12" s="10" t="s">
        <v>258</v>
      </c>
      <c r="D12" s="11">
        <v>611021</v>
      </c>
      <c r="E12" s="11">
        <v>1113</v>
      </c>
      <c r="F12" s="2" t="s">
        <v>261</v>
      </c>
      <c r="G12" s="2" t="s">
        <v>12</v>
      </c>
      <c r="H12" s="23">
        <v>3</v>
      </c>
      <c r="I12" s="9">
        <v>9800</v>
      </c>
      <c r="J12" s="9">
        <f t="shared" si="1"/>
        <v>29400</v>
      </c>
      <c r="K12" s="2"/>
    </row>
    <row r="13" spans="1:15">
      <c r="A13" s="11"/>
      <c r="B13" s="2" t="s">
        <v>68</v>
      </c>
      <c r="C13" s="10" t="s">
        <v>258</v>
      </c>
      <c r="D13" s="11">
        <v>611021</v>
      </c>
      <c r="E13" s="11">
        <v>1113</v>
      </c>
      <c r="F13" s="2" t="s">
        <v>58</v>
      </c>
      <c r="G13" s="2" t="s">
        <v>12</v>
      </c>
      <c r="H13" s="23">
        <v>4</v>
      </c>
      <c r="I13" s="9">
        <v>3250</v>
      </c>
      <c r="J13" s="9">
        <f t="shared" si="1"/>
        <v>13000</v>
      </c>
      <c r="K13" s="2"/>
      <c r="L13" s="1">
        <f>K3+K4+K5+K18+K20+K21+K22+K23+K24+K25</f>
        <v>0</v>
      </c>
    </row>
    <row r="14" spans="1:15">
      <c r="A14" s="11"/>
      <c r="B14" s="2" t="s">
        <v>68</v>
      </c>
      <c r="C14" s="10" t="s">
        <v>258</v>
      </c>
      <c r="D14" s="11">
        <v>611021</v>
      </c>
      <c r="E14" s="11">
        <v>1113</v>
      </c>
      <c r="F14" s="2" t="s">
        <v>262</v>
      </c>
      <c r="G14" s="2" t="s">
        <v>12</v>
      </c>
      <c r="H14" s="23">
        <v>30</v>
      </c>
      <c r="I14" s="9">
        <v>1485</v>
      </c>
      <c r="J14" s="9">
        <f t="shared" si="1"/>
        <v>44550</v>
      </c>
      <c r="K14" s="2"/>
    </row>
    <row r="15" spans="1:15">
      <c r="A15" s="11"/>
      <c r="B15" s="2" t="s">
        <v>68</v>
      </c>
      <c r="C15" s="10" t="s">
        <v>258</v>
      </c>
      <c r="D15" s="11">
        <v>611021</v>
      </c>
      <c r="E15" s="11">
        <v>1113</v>
      </c>
      <c r="F15" s="2" t="s">
        <v>263</v>
      </c>
      <c r="G15" s="2" t="s">
        <v>12</v>
      </c>
      <c r="H15" s="23">
        <v>1</v>
      </c>
      <c r="I15" s="9">
        <v>18900</v>
      </c>
      <c r="J15" s="9">
        <f t="shared" si="1"/>
        <v>18900</v>
      </c>
      <c r="K15" s="2"/>
      <c r="O15" s="11"/>
    </row>
    <row r="16" spans="1:15">
      <c r="A16" s="11"/>
      <c r="B16" s="2" t="s">
        <v>68</v>
      </c>
      <c r="C16" s="43" t="s">
        <v>115</v>
      </c>
      <c r="D16" s="40">
        <v>611021</v>
      </c>
      <c r="E16" s="40">
        <v>1014</v>
      </c>
      <c r="F16" s="39" t="s">
        <v>362</v>
      </c>
      <c r="G16" s="39" t="s">
        <v>12</v>
      </c>
      <c r="H16" s="53">
        <v>1</v>
      </c>
      <c r="I16" s="52">
        <v>29763.56</v>
      </c>
      <c r="J16" s="52">
        <f t="shared" si="1"/>
        <v>29763.56</v>
      </c>
      <c r="K16" s="2"/>
    </row>
    <row r="17" spans="1:11">
      <c r="A17" s="11"/>
      <c r="B17" s="2" t="s">
        <v>68</v>
      </c>
      <c r="C17" s="43" t="s">
        <v>115</v>
      </c>
      <c r="D17" s="40">
        <v>611021</v>
      </c>
      <c r="E17" s="40">
        <v>1113</v>
      </c>
      <c r="F17" s="39" t="s">
        <v>363</v>
      </c>
      <c r="G17" s="39" t="s">
        <v>12</v>
      </c>
      <c r="H17" s="53">
        <v>4</v>
      </c>
      <c r="I17" s="52">
        <v>1030</v>
      </c>
      <c r="J17" s="52">
        <f t="shared" si="1"/>
        <v>4120</v>
      </c>
      <c r="K17" s="2"/>
    </row>
    <row r="18" spans="1:11">
      <c r="A18" s="11"/>
      <c r="B18" s="2" t="s">
        <v>68</v>
      </c>
      <c r="C18" s="43" t="s">
        <v>115</v>
      </c>
      <c r="D18" s="40">
        <v>611021</v>
      </c>
      <c r="E18" s="40">
        <v>1113</v>
      </c>
      <c r="F18" s="39" t="s">
        <v>364</v>
      </c>
      <c r="G18" s="39" t="s">
        <v>12</v>
      </c>
      <c r="H18" s="53">
        <v>2</v>
      </c>
      <c r="I18" s="52">
        <v>1443.88</v>
      </c>
      <c r="J18" s="52">
        <f t="shared" si="1"/>
        <v>2887.76</v>
      </c>
      <c r="K18" s="2"/>
    </row>
    <row r="19" spans="1:11">
      <c r="A19" s="11"/>
      <c r="B19" s="2" t="s">
        <v>68</v>
      </c>
      <c r="C19" s="43" t="s">
        <v>115</v>
      </c>
      <c r="D19" s="40">
        <v>611021</v>
      </c>
      <c r="E19" s="40">
        <v>1113</v>
      </c>
      <c r="F19" s="39" t="s">
        <v>368</v>
      </c>
      <c r="G19" s="39" t="s">
        <v>12</v>
      </c>
      <c r="H19" s="53">
        <v>2</v>
      </c>
      <c r="I19" s="52">
        <v>1850</v>
      </c>
      <c r="J19" s="52">
        <f t="shared" si="1"/>
        <v>3700</v>
      </c>
      <c r="K19" s="39"/>
    </row>
    <row r="20" spans="1:11">
      <c r="A20" s="11"/>
      <c r="B20" s="2" t="s">
        <v>68</v>
      </c>
      <c r="C20" s="43" t="s">
        <v>115</v>
      </c>
      <c r="D20" s="40">
        <v>611021</v>
      </c>
      <c r="E20" s="40">
        <v>1113</v>
      </c>
      <c r="F20" s="39" t="s">
        <v>58</v>
      </c>
      <c r="G20" s="39" t="s">
        <v>12</v>
      </c>
      <c r="H20" s="53">
        <v>1</v>
      </c>
      <c r="I20" s="52">
        <v>2499.21</v>
      </c>
      <c r="J20" s="52">
        <f t="shared" si="1"/>
        <v>2499.21</v>
      </c>
      <c r="K20" s="39"/>
    </row>
    <row r="21" spans="1:11">
      <c r="A21" s="11"/>
      <c r="B21" s="2" t="s">
        <v>68</v>
      </c>
      <c r="C21" s="43" t="s">
        <v>258</v>
      </c>
      <c r="D21" s="43">
        <v>611021</v>
      </c>
      <c r="E21" s="40">
        <v>1113</v>
      </c>
      <c r="F21" s="39" t="s">
        <v>414</v>
      </c>
      <c r="G21" s="39" t="s">
        <v>12</v>
      </c>
      <c r="H21" s="53">
        <v>8</v>
      </c>
      <c r="I21" s="52">
        <v>1950</v>
      </c>
      <c r="J21" s="52">
        <v>15600</v>
      </c>
      <c r="K21" s="42"/>
    </row>
    <row r="22" spans="1:11">
      <c r="A22" s="11"/>
      <c r="B22" s="2" t="s">
        <v>68</v>
      </c>
      <c r="C22" s="43" t="s">
        <v>417</v>
      </c>
      <c r="D22" s="43">
        <v>611021</v>
      </c>
      <c r="E22" s="40">
        <v>1113</v>
      </c>
      <c r="F22" s="39" t="s">
        <v>418</v>
      </c>
      <c r="G22" s="39" t="s">
        <v>12</v>
      </c>
      <c r="H22" s="53">
        <v>4</v>
      </c>
      <c r="I22" s="52">
        <v>11160.69</v>
      </c>
      <c r="J22" s="52">
        <v>44642.76</v>
      </c>
      <c r="K22" s="52"/>
    </row>
    <row r="23" spans="1:11">
      <c r="A23" s="11"/>
      <c r="B23" s="2" t="s">
        <v>68</v>
      </c>
      <c r="C23" s="43" t="s">
        <v>417</v>
      </c>
      <c r="D23" s="43">
        <v>611021</v>
      </c>
      <c r="E23" s="40">
        <v>1113</v>
      </c>
      <c r="F23" s="39" t="s">
        <v>419</v>
      </c>
      <c r="G23" s="39" t="s">
        <v>12</v>
      </c>
      <c r="H23" s="53">
        <v>2</v>
      </c>
      <c r="I23" s="52">
        <v>1000</v>
      </c>
      <c r="J23" s="52">
        <v>2000</v>
      </c>
      <c r="K23" s="52"/>
    </row>
    <row r="24" spans="1:11">
      <c r="A24" s="11"/>
      <c r="B24" s="2" t="s">
        <v>68</v>
      </c>
      <c r="C24" s="43" t="s">
        <v>417</v>
      </c>
      <c r="D24" s="43">
        <v>611021</v>
      </c>
      <c r="E24" s="40">
        <v>1113</v>
      </c>
      <c r="F24" s="39" t="s">
        <v>420</v>
      </c>
      <c r="G24" s="39" t="s">
        <v>12</v>
      </c>
      <c r="H24" s="53">
        <v>1</v>
      </c>
      <c r="I24" s="52">
        <v>850</v>
      </c>
      <c r="J24" s="52">
        <v>850</v>
      </c>
      <c r="K24" s="52"/>
    </row>
    <row r="25" spans="1:11">
      <c r="A25" s="11"/>
      <c r="B25" s="2" t="s">
        <v>68</v>
      </c>
      <c r="C25" s="43" t="s">
        <v>417</v>
      </c>
      <c r="D25" s="43">
        <v>611021</v>
      </c>
      <c r="E25" s="40">
        <v>1113</v>
      </c>
      <c r="F25" s="39" t="s">
        <v>421</v>
      </c>
      <c r="G25" s="39" t="s">
        <v>12</v>
      </c>
      <c r="H25" s="53">
        <v>1</v>
      </c>
      <c r="I25" s="52">
        <v>3586.56</v>
      </c>
      <c r="J25" s="52">
        <v>3586.56</v>
      </c>
      <c r="K25" s="52"/>
    </row>
    <row r="26" spans="1:11">
      <c r="A26" s="11"/>
      <c r="B26" s="2" t="s">
        <v>68</v>
      </c>
      <c r="C26" s="43" t="s">
        <v>417</v>
      </c>
      <c r="D26" s="43">
        <v>611021</v>
      </c>
      <c r="E26" s="40">
        <v>1113</v>
      </c>
      <c r="F26" s="39" t="s">
        <v>422</v>
      </c>
      <c r="G26" s="39" t="s">
        <v>12</v>
      </c>
      <c r="H26" s="53">
        <v>2</v>
      </c>
      <c r="I26" s="52">
        <v>4973.57</v>
      </c>
      <c r="J26" s="52">
        <v>9947.14</v>
      </c>
      <c r="K26" s="52"/>
    </row>
    <row r="27" spans="1:11">
      <c r="A27" s="11"/>
      <c r="B27" s="2" t="s">
        <v>68</v>
      </c>
      <c r="C27" s="43" t="s">
        <v>417</v>
      </c>
      <c r="D27" s="43">
        <v>611021</v>
      </c>
      <c r="E27" s="40">
        <v>1113</v>
      </c>
      <c r="F27" s="39" t="s">
        <v>80</v>
      </c>
      <c r="G27" s="39" t="s">
        <v>12</v>
      </c>
      <c r="H27" s="53">
        <v>1</v>
      </c>
      <c r="I27" s="52">
        <v>20300</v>
      </c>
      <c r="J27" s="52">
        <v>20300</v>
      </c>
      <c r="K27" s="52"/>
    </row>
    <row r="28" spans="1:11">
      <c r="A28" s="11"/>
      <c r="B28" s="2" t="s">
        <v>68</v>
      </c>
      <c r="C28" s="43" t="s">
        <v>417</v>
      </c>
      <c r="D28" s="43">
        <v>611021</v>
      </c>
      <c r="E28" s="40">
        <v>1113</v>
      </c>
      <c r="F28" s="39" t="s">
        <v>435</v>
      </c>
      <c r="G28" s="39" t="s">
        <v>12</v>
      </c>
      <c r="H28" s="53">
        <v>3</v>
      </c>
      <c r="I28" s="52">
        <v>3614.58</v>
      </c>
      <c r="J28" s="52">
        <v>10843.74</v>
      </c>
      <c r="K28" s="52"/>
    </row>
    <row r="29" spans="1:11">
      <c r="A29" s="11"/>
      <c r="B29" s="2" t="s">
        <v>68</v>
      </c>
      <c r="C29" s="43" t="s">
        <v>417</v>
      </c>
      <c r="D29" s="43">
        <v>611021</v>
      </c>
      <c r="E29" s="40">
        <v>1113</v>
      </c>
      <c r="F29" s="39" t="s">
        <v>436</v>
      </c>
      <c r="G29" s="39" t="s">
        <v>12</v>
      </c>
      <c r="H29" s="53">
        <v>6</v>
      </c>
      <c r="I29" s="52">
        <v>412.19</v>
      </c>
      <c r="J29" s="52">
        <v>2473.14</v>
      </c>
      <c r="K29" s="52"/>
    </row>
    <row r="30" spans="1:11">
      <c r="A30" s="11"/>
      <c r="B30" s="2" t="s">
        <v>68</v>
      </c>
      <c r="C30" s="43" t="s">
        <v>417</v>
      </c>
      <c r="D30" s="43">
        <v>611021</v>
      </c>
      <c r="E30" s="40">
        <v>1113</v>
      </c>
      <c r="F30" s="39" t="s">
        <v>437</v>
      </c>
      <c r="G30" s="39" t="s">
        <v>12</v>
      </c>
      <c r="H30" s="53">
        <v>5</v>
      </c>
      <c r="I30" s="52">
        <v>567.37</v>
      </c>
      <c r="J30" s="52">
        <v>2836.85</v>
      </c>
      <c r="K30" s="52"/>
    </row>
    <row r="31" spans="1:11">
      <c r="A31" s="19"/>
      <c r="B31" s="2" t="s">
        <v>68</v>
      </c>
      <c r="C31" s="108" t="s">
        <v>417</v>
      </c>
      <c r="D31" s="108">
        <v>611021</v>
      </c>
      <c r="E31" s="50">
        <v>1113</v>
      </c>
      <c r="F31" s="51" t="s">
        <v>61</v>
      </c>
      <c r="G31" s="51" t="s">
        <v>12</v>
      </c>
      <c r="H31" s="53">
        <v>5</v>
      </c>
      <c r="I31" s="52">
        <v>1443.88</v>
      </c>
      <c r="J31" s="52">
        <v>7219.4</v>
      </c>
      <c r="K31" s="52"/>
    </row>
    <row r="32" spans="1:11">
      <c r="A32" s="19"/>
      <c r="B32" s="2" t="s">
        <v>68</v>
      </c>
      <c r="C32" s="43" t="s">
        <v>417</v>
      </c>
      <c r="D32" s="43">
        <v>611021</v>
      </c>
      <c r="E32" s="40">
        <v>1113</v>
      </c>
      <c r="F32" s="39" t="s">
        <v>447</v>
      </c>
      <c r="G32" s="39" t="s">
        <v>12</v>
      </c>
      <c r="H32" s="53">
        <v>1</v>
      </c>
      <c r="I32" s="52">
        <v>3688</v>
      </c>
      <c r="J32" s="52">
        <v>3688</v>
      </c>
      <c r="K32" s="52"/>
    </row>
    <row r="33" spans="1:11">
      <c r="A33" s="19"/>
      <c r="B33" s="2" t="s">
        <v>68</v>
      </c>
      <c r="C33" s="43" t="s">
        <v>417</v>
      </c>
      <c r="D33" s="43">
        <v>611021</v>
      </c>
      <c r="E33" s="40">
        <v>1113</v>
      </c>
      <c r="F33" s="39" t="s">
        <v>453</v>
      </c>
      <c r="G33" s="39" t="s">
        <v>12</v>
      </c>
      <c r="H33" s="53">
        <v>20</v>
      </c>
      <c r="I33" s="52">
        <v>3798</v>
      </c>
      <c r="J33" s="52">
        <v>75960</v>
      </c>
      <c r="K33" s="52"/>
    </row>
    <row r="34" spans="1:11" ht="15.75">
      <c r="A34" s="19"/>
      <c r="B34" s="2" t="s">
        <v>68</v>
      </c>
      <c r="C34" s="67" t="s">
        <v>10</v>
      </c>
      <c r="D34" s="68">
        <v>3110</v>
      </c>
      <c r="E34" s="68">
        <v>1014</v>
      </c>
      <c r="F34" s="67" t="s">
        <v>24</v>
      </c>
      <c r="G34" s="67" t="s">
        <v>12</v>
      </c>
      <c r="H34" s="78">
        <v>1</v>
      </c>
      <c r="I34" s="79">
        <v>70999.8</v>
      </c>
      <c r="J34" s="79">
        <v>70999.8</v>
      </c>
      <c r="K34" s="9"/>
    </row>
    <row r="35" spans="1:11">
      <c r="A35" s="19"/>
      <c r="B35" s="8"/>
      <c r="C35" s="31"/>
      <c r="D35" s="19"/>
      <c r="E35" s="19"/>
      <c r="F35" s="8"/>
      <c r="G35" s="8"/>
      <c r="H35" s="23"/>
      <c r="I35" s="9"/>
      <c r="J35" s="9"/>
      <c r="K35" s="9"/>
    </row>
    <row r="36" spans="1:11">
      <c r="A36" s="19"/>
      <c r="B36" s="8"/>
      <c r="C36" s="31"/>
      <c r="D36" s="19"/>
      <c r="E36" s="19"/>
      <c r="F36" s="8"/>
      <c r="G36" s="8"/>
      <c r="H36" s="23"/>
      <c r="I36" s="9"/>
      <c r="J36" s="9">
        <f>SUM(J3:J35)</f>
        <v>499127.64</v>
      </c>
      <c r="K36" s="9"/>
    </row>
    <row r="37" spans="1:11">
      <c r="A37" s="19"/>
      <c r="B37" s="8"/>
      <c r="C37" s="31"/>
      <c r="D37" s="19"/>
      <c r="E37" s="19"/>
      <c r="F37" s="8"/>
      <c r="G37" s="8"/>
      <c r="H37" s="23"/>
      <c r="I37" s="9"/>
      <c r="J37" s="9"/>
      <c r="K37" s="9"/>
    </row>
    <row r="38" spans="1:11">
      <c r="A38" s="19"/>
      <c r="B38" s="8"/>
      <c r="C38" s="31"/>
      <c r="D38" s="19"/>
      <c r="E38" s="19"/>
      <c r="F38" s="8"/>
      <c r="G38" s="8"/>
      <c r="H38" s="23"/>
      <c r="I38" s="9"/>
      <c r="J38" s="9"/>
      <c r="K38" s="9"/>
    </row>
    <row r="39" spans="1:11">
      <c r="A39" s="19"/>
      <c r="B39" s="8"/>
      <c r="C39" s="31"/>
      <c r="D39" s="19"/>
      <c r="E39" s="19"/>
      <c r="F39" s="8"/>
      <c r="G39" s="8"/>
      <c r="H39" s="23"/>
      <c r="I39" s="9"/>
      <c r="J39" s="9"/>
      <c r="K39" s="9"/>
    </row>
    <row r="40" spans="1:11">
      <c r="A40" s="19"/>
      <c r="B40" s="8"/>
      <c r="C40" s="31"/>
      <c r="D40" s="19"/>
      <c r="E40" s="19"/>
      <c r="F40" s="8"/>
      <c r="G40" s="8"/>
      <c r="H40" s="23"/>
      <c r="I40" s="9"/>
      <c r="J40" s="9"/>
      <c r="K40" s="9"/>
    </row>
    <row r="41" spans="1:11">
      <c r="A41" s="19"/>
      <c r="B41" s="8"/>
      <c r="C41" s="31"/>
      <c r="D41" s="19"/>
      <c r="E41" s="19"/>
      <c r="F41" s="8"/>
      <c r="G41" s="8"/>
      <c r="H41" s="23"/>
      <c r="I41" s="9"/>
      <c r="J41" s="9"/>
      <c r="K41" s="9"/>
    </row>
    <row r="42" spans="1:11">
      <c r="A42" s="19"/>
      <c r="B42" s="8"/>
      <c r="C42" s="31"/>
      <c r="D42" s="19"/>
      <c r="E42" s="19"/>
      <c r="F42" s="8"/>
      <c r="G42" s="8"/>
      <c r="H42" s="23"/>
      <c r="I42" s="9"/>
      <c r="J42" s="9"/>
      <c r="K42" s="9"/>
    </row>
    <row r="43" spans="1:11">
      <c r="A43" s="19"/>
      <c r="B43" s="8"/>
      <c r="C43" s="31"/>
      <c r="D43" s="19"/>
      <c r="E43" s="19"/>
      <c r="F43" s="8"/>
      <c r="G43" s="8"/>
      <c r="H43" s="23"/>
      <c r="I43" s="9"/>
      <c r="J43" s="9"/>
      <c r="K43" s="9"/>
    </row>
    <row r="44" spans="1:11">
      <c r="A44" s="19"/>
      <c r="B44" s="8"/>
      <c r="C44" s="31"/>
      <c r="D44" s="19"/>
      <c r="E44" s="19"/>
      <c r="F44" s="8"/>
      <c r="G44" s="8"/>
      <c r="H44" s="23"/>
      <c r="I44" s="9"/>
      <c r="J44" s="9"/>
      <c r="K44" s="9"/>
    </row>
    <row r="45" spans="1:11">
      <c r="A45" s="19"/>
      <c r="B45" s="8"/>
      <c r="C45" s="31"/>
      <c r="D45" s="19"/>
      <c r="E45" s="19"/>
      <c r="F45" s="8"/>
      <c r="G45" s="8"/>
      <c r="H45" s="23"/>
      <c r="I45" s="9"/>
      <c r="J45" s="9"/>
      <c r="K45" s="9"/>
    </row>
    <row r="46" spans="1:11">
      <c r="A46" s="19"/>
      <c r="B46" s="8"/>
      <c r="C46" s="31"/>
      <c r="D46" s="19"/>
      <c r="E46" s="19"/>
      <c r="F46" s="8"/>
      <c r="G46" s="8"/>
      <c r="H46" s="23"/>
      <c r="I46" s="9"/>
      <c r="J46" s="9"/>
      <c r="K46" s="9"/>
    </row>
    <row r="47" spans="1:11">
      <c r="A47" s="19"/>
      <c r="B47" s="8"/>
      <c r="C47" s="31"/>
      <c r="D47" s="19"/>
      <c r="E47" s="19"/>
      <c r="F47" s="8"/>
      <c r="G47" s="8"/>
      <c r="H47" s="23"/>
      <c r="I47" s="9"/>
      <c r="J47" s="9"/>
      <c r="K47" s="9"/>
    </row>
    <row r="48" spans="1:11">
      <c r="A48" s="19"/>
      <c r="B48" s="8"/>
      <c r="C48" s="31"/>
      <c r="D48" s="19"/>
      <c r="E48" s="19"/>
      <c r="F48" s="8"/>
      <c r="G48" s="8"/>
      <c r="H48" s="23"/>
      <c r="I48" s="9"/>
      <c r="J48" s="9"/>
      <c r="K48" s="8"/>
    </row>
    <row r="49" spans="1:11">
      <c r="A49" s="19"/>
      <c r="B49" s="8"/>
      <c r="C49" s="31"/>
      <c r="D49" s="19"/>
      <c r="E49" s="19"/>
      <c r="F49" s="8"/>
      <c r="G49" s="8"/>
      <c r="H49" s="23"/>
      <c r="I49" s="9"/>
      <c r="J49" s="9"/>
      <c r="K49" s="9"/>
    </row>
    <row r="50" spans="1:11">
      <c r="A50" s="19"/>
      <c r="B50" s="8"/>
      <c r="C50" s="31"/>
      <c r="D50" s="19"/>
      <c r="E50" s="19"/>
      <c r="F50" s="8"/>
      <c r="G50" s="8"/>
      <c r="H50" s="23"/>
      <c r="I50" s="9"/>
      <c r="J50" s="9"/>
      <c r="K50" s="9"/>
    </row>
    <row r="51" spans="1:11">
      <c r="A51" s="19"/>
      <c r="B51" s="8"/>
      <c r="C51" s="31"/>
      <c r="D51" s="19"/>
      <c r="E51" s="19"/>
      <c r="F51" s="8"/>
      <c r="G51" s="8"/>
      <c r="H51" s="23"/>
      <c r="I51" s="9"/>
      <c r="J51" s="9"/>
      <c r="K51" s="9"/>
    </row>
    <row r="52" spans="1:11">
      <c r="A52" s="19"/>
      <c r="B52" s="8"/>
      <c r="C52" s="31"/>
      <c r="D52" s="19"/>
      <c r="E52" s="19"/>
      <c r="F52" s="8"/>
      <c r="G52" s="8"/>
      <c r="H52" s="23"/>
      <c r="I52" s="9"/>
      <c r="J52" s="9"/>
      <c r="K52" s="9"/>
    </row>
    <row r="53" spans="1:11">
      <c r="A53" s="19"/>
      <c r="B53" s="8"/>
      <c r="C53" s="31"/>
      <c r="D53" s="19"/>
      <c r="E53" s="19"/>
      <c r="F53" s="8"/>
      <c r="G53" s="8"/>
      <c r="H53" s="23"/>
      <c r="I53" s="9"/>
      <c r="J53" s="9"/>
      <c r="K53" s="9"/>
    </row>
    <row r="54" spans="1:11">
      <c r="A54" s="19"/>
      <c r="B54" s="8"/>
      <c r="C54" s="31"/>
      <c r="D54" s="19"/>
      <c r="E54" s="19"/>
      <c r="F54" s="8"/>
      <c r="G54" s="8"/>
      <c r="H54" s="23"/>
      <c r="I54" s="9"/>
      <c r="J54" s="9"/>
      <c r="K54" s="8"/>
    </row>
    <row r="55" spans="1:11">
      <c r="A55" s="19"/>
      <c r="B55" s="8"/>
      <c r="C55" s="31"/>
      <c r="D55" s="19"/>
      <c r="E55" s="19"/>
      <c r="F55" s="8"/>
      <c r="G55" s="8"/>
      <c r="H55" s="23"/>
      <c r="I55" s="9"/>
      <c r="J55" s="9"/>
      <c r="K55" s="9"/>
    </row>
    <row r="56" spans="1:11">
      <c r="A56" s="19"/>
      <c r="B56" s="8"/>
      <c r="C56" s="31"/>
      <c r="D56" s="19"/>
      <c r="E56" s="19"/>
      <c r="F56" s="8"/>
      <c r="G56" s="8"/>
      <c r="H56" s="23"/>
      <c r="I56" s="9"/>
      <c r="J56" s="9"/>
      <c r="K56" s="8"/>
    </row>
    <row r="57" spans="1:11">
      <c r="A57" s="19"/>
      <c r="B57" s="8"/>
      <c r="C57" s="31"/>
      <c r="D57" s="19"/>
      <c r="E57" s="19"/>
      <c r="F57" s="8"/>
      <c r="G57" s="8"/>
      <c r="H57" s="23"/>
      <c r="I57" s="9"/>
      <c r="J57" s="9"/>
      <c r="K57" s="8"/>
    </row>
    <row r="58" spans="1:11">
      <c r="A58" s="19"/>
      <c r="B58" s="8"/>
      <c r="C58" s="31"/>
      <c r="D58" s="19"/>
      <c r="E58" s="19"/>
      <c r="F58" s="8"/>
      <c r="G58" s="8"/>
      <c r="H58" s="23"/>
      <c r="I58" s="9"/>
      <c r="J58" s="9"/>
      <c r="K58" s="8"/>
    </row>
    <row r="59" spans="1:11">
      <c r="A59" s="19"/>
      <c r="B59" s="8"/>
      <c r="C59" s="31"/>
      <c r="D59" s="19"/>
      <c r="E59" s="19"/>
      <c r="F59" s="8"/>
      <c r="G59" s="8"/>
      <c r="H59" s="23"/>
      <c r="I59" s="9"/>
      <c r="J59" s="9"/>
      <c r="K59" s="8"/>
    </row>
    <row r="60" spans="1:11">
      <c r="A60" s="19"/>
      <c r="B60" s="8"/>
      <c r="C60" s="31"/>
      <c r="D60" s="19"/>
      <c r="E60" s="19"/>
      <c r="F60" s="8"/>
      <c r="G60" s="8"/>
      <c r="H60" s="23"/>
      <c r="I60" s="9"/>
      <c r="J60" s="9"/>
      <c r="K60" s="8"/>
    </row>
    <row r="61" spans="1:11">
      <c r="A61" s="19"/>
      <c r="B61" s="8"/>
      <c r="C61" s="31"/>
      <c r="D61" s="19"/>
      <c r="E61" s="19"/>
      <c r="F61" s="8"/>
      <c r="G61" s="8"/>
      <c r="H61" s="23"/>
      <c r="I61" s="9"/>
      <c r="J61" s="9"/>
      <c r="K61" s="8"/>
    </row>
    <row r="62" spans="1:11">
      <c r="A62" s="19"/>
      <c r="B62" s="8"/>
      <c r="C62" s="31"/>
      <c r="D62" s="19"/>
      <c r="E62" s="19"/>
      <c r="F62" s="8"/>
      <c r="G62" s="8"/>
      <c r="H62" s="23"/>
      <c r="I62" s="9"/>
      <c r="J62" s="9"/>
      <c r="K62" s="8"/>
    </row>
    <row r="63" spans="1:11">
      <c r="A63" s="19"/>
      <c r="B63" s="8"/>
      <c r="C63" s="31"/>
      <c r="D63" s="19"/>
      <c r="E63" s="19"/>
      <c r="F63" s="8"/>
      <c r="G63" s="8"/>
      <c r="H63" s="23"/>
      <c r="I63" s="9"/>
      <c r="J63" s="9"/>
      <c r="K63" s="8"/>
    </row>
    <row r="64" spans="1:11">
      <c r="A64" s="19"/>
      <c r="B64" s="8"/>
      <c r="C64" s="31"/>
      <c r="D64" s="19"/>
      <c r="E64" s="19"/>
      <c r="F64" s="8"/>
      <c r="G64" s="8"/>
      <c r="H64" s="23"/>
      <c r="I64" s="9"/>
      <c r="J64" s="9"/>
      <c r="K64" s="8"/>
    </row>
    <row r="65" spans="1:11">
      <c r="A65" s="19"/>
      <c r="B65" s="8"/>
      <c r="C65" s="31"/>
      <c r="D65" s="19"/>
      <c r="E65" s="19"/>
      <c r="F65" s="8"/>
      <c r="G65" s="8"/>
      <c r="H65" s="23"/>
      <c r="I65" s="9"/>
      <c r="J65" s="9"/>
      <c r="K65" s="8"/>
    </row>
    <row r="66" spans="1:11">
      <c r="A66" s="19"/>
      <c r="B66" s="8"/>
      <c r="C66" s="31"/>
      <c r="D66" s="19"/>
      <c r="E66" s="19"/>
      <c r="F66" s="8"/>
      <c r="G66" s="8"/>
      <c r="H66" s="23"/>
      <c r="I66" s="9"/>
      <c r="J66" s="9"/>
      <c r="K66" s="8"/>
    </row>
    <row r="67" spans="1:11">
      <c r="A67" s="19"/>
      <c r="B67" s="8"/>
      <c r="C67" s="31"/>
      <c r="D67" s="19"/>
      <c r="E67" s="19"/>
      <c r="F67" s="8"/>
      <c r="G67" s="8"/>
      <c r="H67" s="23"/>
      <c r="I67" s="9"/>
      <c r="J67" s="9"/>
      <c r="K67" s="8"/>
    </row>
    <row r="68" spans="1:11">
      <c r="A68" s="19"/>
      <c r="B68" s="8"/>
      <c r="C68" s="31"/>
      <c r="D68" s="19"/>
      <c r="E68" s="19"/>
      <c r="F68" s="8"/>
      <c r="G68" s="8"/>
      <c r="H68" s="23"/>
      <c r="I68" s="9"/>
      <c r="J68" s="9"/>
      <c r="K68" s="8"/>
    </row>
    <row r="69" spans="1:11">
      <c r="A69" s="19"/>
      <c r="B69" s="8"/>
      <c r="C69" s="31"/>
      <c r="D69" s="19"/>
      <c r="E69" s="19"/>
      <c r="F69" s="8"/>
      <c r="G69" s="8"/>
      <c r="H69" s="23"/>
      <c r="I69" s="9"/>
      <c r="J69" s="9"/>
      <c r="K69" s="8"/>
    </row>
    <row r="70" spans="1:11">
      <c r="A70" s="19"/>
      <c r="B70" s="8"/>
      <c r="C70" s="31"/>
      <c r="D70" s="19"/>
      <c r="E70" s="19"/>
      <c r="F70" s="8"/>
      <c r="G70" s="8"/>
      <c r="H70" s="23"/>
      <c r="I70" s="9"/>
      <c r="J70" s="9"/>
      <c r="K70" s="8"/>
    </row>
    <row r="71" spans="1:11">
      <c r="A71" s="19"/>
      <c r="B71" s="8"/>
      <c r="C71" s="31"/>
      <c r="D71" s="19"/>
      <c r="E71" s="19"/>
      <c r="F71" s="8"/>
      <c r="G71" s="8"/>
      <c r="H71" s="23"/>
      <c r="I71" s="9"/>
      <c r="J71" s="9"/>
      <c r="K71" s="8"/>
    </row>
    <row r="72" spans="1:11">
      <c r="A72" s="19"/>
      <c r="B72" s="8"/>
      <c r="C72" s="31"/>
      <c r="D72" s="19"/>
      <c r="E72" s="19"/>
      <c r="F72" s="8"/>
      <c r="G72" s="8"/>
      <c r="H72" s="23"/>
      <c r="I72" s="9"/>
      <c r="J72" s="9"/>
      <c r="K72" s="8"/>
    </row>
    <row r="73" spans="1:11">
      <c r="A73" s="19"/>
      <c r="B73" s="8"/>
      <c r="C73" s="31"/>
      <c r="D73" s="19"/>
      <c r="E73" s="19"/>
      <c r="F73" s="8"/>
      <c r="G73" s="8"/>
      <c r="H73" s="23"/>
      <c r="I73" s="9"/>
      <c r="J73" s="9"/>
      <c r="K73" s="8"/>
    </row>
    <row r="74" spans="1:11">
      <c r="A74" s="19"/>
      <c r="B74" s="8"/>
      <c r="C74" s="31"/>
      <c r="D74" s="19"/>
      <c r="E74" s="19"/>
      <c r="F74" s="8"/>
      <c r="G74" s="8"/>
      <c r="H74" s="23"/>
      <c r="I74" s="9"/>
      <c r="J74" s="9"/>
      <c r="K74" s="8"/>
    </row>
    <row r="75" spans="1:11">
      <c r="A75" s="19"/>
      <c r="B75" s="8"/>
      <c r="C75" s="31"/>
      <c r="D75" s="19"/>
      <c r="E75" s="19"/>
      <c r="F75" s="8"/>
      <c r="G75" s="8"/>
      <c r="H75" s="23"/>
      <c r="I75" s="9"/>
      <c r="J75" s="9"/>
      <c r="K75" s="8"/>
    </row>
    <row r="76" spans="1:11">
      <c r="A76" s="19"/>
      <c r="B76" s="8"/>
      <c r="C76" s="31"/>
      <c r="D76" s="19"/>
      <c r="E76" s="19"/>
      <c r="F76" s="8"/>
      <c r="G76" s="8"/>
      <c r="H76" s="23"/>
      <c r="I76" s="9"/>
      <c r="J76" s="9"/>
      <c r="K76" s="8"/>
    </row>
    <row r="77" spans="1:11">
      <c r="A77" s="19"/>
      <c r="B77" s="8"/>
      <c r="C77" s="31"/>
      <c r="D77" s="19"/>
      <c r="E77" s="19"/>
      <c r="F77" s="8"/>
      <c r="G77" s="8"/>
      <c r="H77" s="23"/>
      <c r="I77" s="9"/>
      <c r="J77" s="9"/>
      <c r="K77" s="8"/>
    </row>
    <row r="78" spans="1:11">
      <c r="A78" s="19"/>
      <c r="B78" s="8"/>
      <c r="C78" s="31"/>
      <c r="D78" s="19"/>
      <c r="E78" s="19"/>
      <c r="F78" s="8"/>
      <c r="G78" s="8"/>
      <c r="H78" s="23"/>
      <c r="I78" s="9"/>
      <c r="J78" s="9"/>
      <c r="K78" s="8"/>
    </row>
    <row r="79" spans="1:11">
      <c r="A79" s="19"/>
      <c r="B79" s="8"/>
      <c r="C79" s="31"/>
      <c r="D79" s="19"/>
      <c r="E79" s="19"/>
      <c r="F79" s="8"/>
      <c r="G79" s="8"/>
      <c r="H79" s="23"/>
      <c r="I79" s="9"/>
      <c r="J79" s="9"/>
      <c r="K79" s="8"/>
    </row>
    <row r="80" spans="1:11">
      <c r="A80" s="19"/>
      <c r="B80" s="8"/>
      <c r="C80" s="31"/>
      <c r="D80" s="19"/>
      <c r="E80" s="19"/>
      <c r="F80" s="8"/>
      <c r="G80" s="8"/>
      <c r="H80" s="23"/>
      <c r="I80" s="9"/>
      <c r="J80" s="9"/>
      <c r="K80" s="8"/>
    </row>
    <row r="81" spans="1:11">
      <c r="A81" s="19"/>
      <c r="B81" s="8"/>
      <c r="C81" s="31"/>
      <c r="D81" s="19"/>
      <c r="E81" s="19"/>
      <c r="F81" s="8"/>
      <c r="G81" s="8"/>
      <c r="H81" s="23"/>
      <c r="I81" s="9"/>
      <c r="J81" s="9"/>
      <c r="K81" s="8"/>
    </row>
    <row r="82" spans="1:11">
      <c r="A82" s="19"/>
      <c r="B82" s="8"/>
      <c r="C82" s="31"/>
      <c r="D82" s="19"/>
      <c r="E82" s="19"/>
      <c r="F82" s="8"/>
      <c r="G82" s="8"/>
      <c r="H82" s="23"/>
      <c r="I82" s="9"/>
      <c r="J82" s="9"/>
      <c r="K82" s="8"/>
    </row>
    <row r="83" spans="1:11">
      <c r="A83" s="19"/>
      <c r="B83" s="8"/>
      <c r="C83" s="31"/>
      <c r="D83" s="19"/>
      <c r="E83" s="19"/>
      <c r="F83" s="8"/>
      <c r="G83" s="8"/>
      <c r="H83" s="23"/>
      <c r="I83" s="9"/>
      <c r="J83" s="9"/>
      <c r="K83" s="8"/>
    </row>
    <row r="84" spans="1:11">
      <c r="A84" s="19"/>
      <c r="B84" s="8"/>
      <c r="C84" s="31"/>
      <c r="D84" s="19"/>
      <c r="E84" s="19"/>
      <c r="F84" s="8"/>
      <c r="G84" s="8"/>
      <c r="H84" s="23"/>
      <c r="I84" s="9"/>
      <c r="J84" s="9"/>
      <c r="K84" s="8"/>
    </row>
    <row r="85" spans="1:11">
      <c r="A85" s="19"/>
      <c r="B85" s="8"/>
      <c r="C85" s="31"/>
      <c r="D85" s="19"/>
      <c r="E85" s="19"/>
      <c r="F85" s="8"/>
      <c r="G85" s="8"/>
      <c r="H85" s="23"/>
      <c r="I85" s="9"/>
      <c r="J85" s="9"/>
      <c r="K85" s="8"/>
    </row>
    <row r="86" spans="1:11">
      <c r="A86" s="19"/>
      <c r="B86" s="8"/>
      <c r="C86" s="31"/>
      <c r="D86" s="19"/>
      <c r="E86" s="19"/>
      <c r="F86" s="8"/>
      <c r="G86" s="8"/>
      <c r="H86" s="23"/>
      <c r="I86" s="9"/>
      <c r="J86" s="9"/>
      <c r="K86" s="8"/>
    </row>
    <row r="87" spans="1:11">
      <c r="A87" s="19"/>
      <c r="B87" s="8"/>
      <c r="C87" s="31"/>
      <c r="D87" s="19"/>
      <c r="E87" s="19"/>
      <c r="F87" s="8"/>
      <c r="G87" s="8"/>
      <c r="H87" s="23"/>
      <c r="I87" s="9"/>
      <c r="J87" s="9"/>
      <c r="K87" s="8"/>
    </row>
    <row r="88" spans="1:11">
      <c r="A88" s="19"/>
      <c r="B88" s="8"/>
      <c r="C88" s="31"/>
      <c r="D88" s="19"/>
      <c r="E88" s="19"/>
      <c r="F88" s="8"/>
      <c r="G88" s="8"/>
      <c r="H88" s="23"/>
      <c r="I88" s="9"/>
      <c r="J88" s="9"/>
      <c r="K88" s="8"/>
    </row>
    <row r="89" spans="1:11">
      <c r="A89" s="19"/>
      <c r="B89" s="8"/>
      <c r="C89" s="31"/>
      <c r="D89" s="19"/>
      <c r="E89" s="19"/>
      <c r="F89" s="8"/>
      <c r="G89" s="8"/>
      <c r="H89" s="23"/>
      <c r="I89" s="9"/>
      <c r="J89" s="9"/>
      <c r="K89" s="8"/>
    </row>
    <row r="90" spans="1:11">
      <c r="A90" s="19"/>
      <c r="B90" s="8"/>
      <c r="C90" s="31"/>
      <c r="D90" s="19"/>
      <c r="E90" s="19"/>
      <c r="F90" s="8"/>
      <c r="G90" s="8"/>
      <c r="H90" s="23"/>
      <c r="I90" s="9"/>
      <c r="J90" s="9"/>
      <c r="K90" s="8"/>
    </row>
    <row r="91" spans="1:11">
      <c r="A91" s="19"/>
      <c r="B91" s="8"/>
      <c r="C91" s="31"/>
      <c r="D91" s="19"/>
      <c r="E91" s="19"/>
      <c r="F91" s="8"/>
      <c r="G91" s="8"/>
      <c r="H91" s="23"/>
      <c r="I91" s="9"/>
      <c r="J91" s="9"/>
      <c r="K91" s="8"/>
    </row>
    <row r="92" spans="1:11">
      <c r="A92" s="19"/>
      <c r="B92" s="8"/>
      <c r="C92" s="31"/>
      <c r="D92" s="19"/>
      <c r="E92" s="19"/>
      <c r="F92" s="8"/>
      <c r="G92" s="8"/>
      <c r="H92" s="23"/>
      <c r="I92" s="9"/>
      <c r="J92" s="9"/>
      <c r="K92" s="8"/>
    </row>
    <row r="93" spans="1:11">
      <c r="A93" s="19"/>
      <c r="B93" s="8"/>
      <c r="C93" s="31"/>
      <c r="D93" s="19"/>
      <c r="E93" s="19"/>
      <c r="F93" s="8"/>
      <c r="G93" s="8"/>
      <c r="H93" s="23"/>
      <c r="I93" s="9"/>
      <c r="J93" s="9"/>
      <c r="K93" s="8"/>
    </row>
    <row r="94" spans="1:11">
      <c r="A94" s="19"/>
      <c r="B94" s="8"/>
      <c r="C94" s="31"/>
      <c r="D94" s="19"/>
      <c r="E94" s="19"/>
      <c r="F94" s="8"/>
      <c r="G94" s="8"/>
      <c r="H94" s="23"/>
      <c r="I94" s="9"/>
      <c r="J94" s="9"/>
      <c r="K94" s="8"/>
    </row>
    <row r="95" spans="1:11">
      <c r="A95" s="19"/>
      <c r="B95" s="8"/>
      <c r="C95" s="31"/>
      <c r="D95" s="19"/>
      <c r="E95" s="19"/>
      <c r="F95" s="8"/>
      <c r="G95" s="8"/>
      <c r="H95" s="23"/>
      <c r="I95" s="9"/>
      <c r="J95" s="9"/>
      <c r="K95" s="8"/>
    </row>
    <row r="96" spans="1:11">
      <c r="A96" s="19"/>
      <c r="B96" s="8"/>
      <c r="C96" s="31"/>
      <c r="D96" s="19"/>
      <c r="E96" s="19"/>
      <c r="F96" s="8"/>
      <c r="G96" s="8"/>
      <c r="H96" s="23"/>
      <c r="I96" s="9"/>
      <c r="J96" s="9"/>
      <c r="K96" s="8"/>
    </row>
    <row r="97" spans="1:11">
      <c r="A97" s="19"/>
      <c r="B97" s="8"/>
      <c r="C97" s="31"/>
      <c r="D97" s="19"/>
      <c r="E97" s="19"/>
      <c r="F97" s="8"/>
      <c r="G97" s="8"/>
      <c r="H97" s="23"/>
      <c r="I97" s="9"/>
      <c r="J97" s="9"/>
      <c r="K97" s="8"/>
    </row>
    <row r="98" spans="1:11">
      <c r="A98" s="19"/>
      <c r="B98" s="8"/>
      <c r="C98" s="31"/>
      <c r="D98" s="19"/>
      <c r="E98" s="19"/>
      <c r="F98" s="8"/>
      <c r="G98" s="8"/>
      <c r="H98" s="23"/>
      <c r="I98" s="9"/>
      <c r="J98" s="9"/>
      <c r="K98" s="8"/>
    </row>
    <row r="99" spans="1:11">
      <c r="A99" s="19"/>
      <c r="B99" s="8"/>
      <c r="C99" s="31"/>
      <c r="D99" s="19"/>
      <c r="E99" s="19"/>
      <c r="F99" s="8"/>
      <c r="G99" s="8"/>
      <c r="H99" s="23"/>
      <c r="I99" s="9"/>
      <c r="J99" s="9"/>
      <c r="K99" s="8"/>
    </row>
    <row r="100" spans="1:11">
      <c r="A100" s="19"/>
      <c r="B100" s="8"/>
      <c r="C100" s="31"/>
      <c r="D100" s="19"/>
      <c r="E100" s="19"/>
      <c r="F100" s="8"/>
      <c r="G100" s="8"/>
      <c r="H100" s="23"/>
      <c r="I100" s="9"/>
      <c r="J100" s="9"/>
      <c r="K100" s="8"/>
    </row>
    <row r="101" spans="1:11">
      <c r="A101" s="19"/>
      <c r="B101" s="8"/>
      <c r="C101" s="31"/>
      <c r="D101" s="19"/>
      <c r="E101" s="19"/>
      <c r="F101" s="8"/>
      <c r="G101" s="8"/>
      <c r="H101" s="23"/>
      <c r="I101" s="9"/>
      <c r="J101" s="9"/>
      <c r="K101" s="8"/>
    </row>
    <row r="102" spans="1:11">
      <c r="A102" s="19"/>
      <c r="B102" s="8"/>
      <c r="C102" s="31"/>
      <c r="D102" s="19"/>
      <c r="E102" s="19"/>
      <c r="F102" s="8"/>
      <c r="G102" s="8"/>
      <c r="H102" s="23"/>
      <c r="I102" s="9"/>
      <c r="J102" s="9"/>
      <c r="K102" s="8"/>
    </row>
    <row r="103" spans="1:11">
      <c r="A103" s="19"/>
      <c r="B103" s="8"/>
      <c r="C103" s="31"/>
      <c r="D103" s="19"/>
      <c r="E103" s="19"/>
      <c r="F103" s="8"/>
      <c r="G103" s="8"/>
      <c r="H103" s="23"/>
      <c r="I103" s="9"/>
      <c r="J103" s="9"/>
      <c r="K103" s="8"/>
    </row>
    <row r="104" spans="1:11">
      <c r="A104" s="19"/>
      <c r="B104" s="8"/>
      <c r="C104" s="31"/>
      <c r="D104" s="19"/>
      <c r="E104" s="19"/>
      <c r="F104" s="8"/>
      <c r="G104" s="8"/>
      <c r="H104" s="23"/>
      <c r="I104" s="9"/>
      <c r="J104" s="9"/>
      <c r="K104" s="8"/>
    </row>
    <row r="105" spans="1:11">
      <c r="A105" s="19"/>
      <c r="B105" s="8"/>
      <c r="C105" s="31"/>
      <c r="D105" s="19"/>
      <c r="E105" s="19"/>
      <c r="F105" s="8"/>
      <c r="G105" s="8"/>
      <c r="H105" s="23"/>
      <c r="I105" s="9"/>
      <c r="J105" s="9"/>
      <c r="K105" s="8"/>
    </row>
    <row r="106" spans="1:11">
      <c r="A106" s="19"/>
      <c r="B106" s="8"/>
      <c r="C106" s="31"/>
      <c r="D106" s="19"/>
      <c r="E106" s="19"/>
      <c r="F106" s="8"/>
      <c r="G106" s="8"/>
      <c r="H106" s="23"/>
      <c r="I106" s="9"/>
      <c r="J106" s="9"/>
      <c r="K106" s="8"/>
    </row>
    <row r="107" spans="1:11">
      <c r="A107" s="19"/>
      <c r="B107" s="8"/>
      <c r="C107" s="31"/>
      <c r="D107" s="19"/>
      <c r="E107" s="19"/>
      <c r="F107" s="8"/>
      <c r="G107" s="8"/>
      <c r="H107" s="23"/>
      <c r="I107" s="9"/>
      <c r="J107" s="9"/>
      <c r="K107" s="8"/>
    </row>
    <row r="108" spans="1:11">
      <c r="A108" s="19"/>
      <c r="B108" s="8"/>
      <c r="C108" s="31"/>
      <c r="D108" s="19"/>
      <c r="E108" s="19"/>
      <c r="F108" s="8"/>
      <c r="G108" s="8"/>
      <c r="H108" s="23"/>
      <c r="I108" s="9"/>
      <c r="J108" s="9"/>
      <c r="K108" s="8"/>
    </row>
    <row r="109" spans="1:11">
      <c r="A109" s="19"/>
      <c r="B109" s="8"/>
      <c r="C109" s="31"/>
      <c r="D109" s="19"/>
      <c r="E109" s="19"/>
      <c r="F109" s="8"/>
      <c r="G109" s="8"/>
      <c r="H109" s="23"/>
      <c r="I109" s="9"/>
      <c r="J109" s="9"/>
      <c r="K109" s="8"/>
    </row>
    <row r="110" spans="1:11">
      <c r="A110" s="19"/>
      <c r="B110" s="8"/>
      <c r="C110" s="31"/>
      <c r="D110" s="19"/>
      <c r="E110" s="19"/>
      <c r="F110" s="8"/>
      <c r="G110" s="8"/>
      <c r="H110" s="23"/>
      <c r="I110" s="9"/>
      <c r="J110" s="9"/>
      <c r="K110" s="8"/>
    </row>
    <row r="111" spans="1:11">
      <c r="A111" s="19"/>
      <c r="B111" s="8"/>
      <c r="C111" s="31"/>
      <c r="D111" s="19"/>
      <c r="E111" s="19"/>
      <c r="F111" s="8"/>
      <c r="G111" s="8"/>
      <c r="H111" s="23"/>
      <c r="I111" s="9"/>
      <c r="J111" s="9"/>
      <c r="K111" s="8"/>
    </row>
    <row r="112" spans="1:11">
      <c r="A112" s="19"/>
      <c r="B112" s="8"/>
      <c r="C112" s="31"/>
      <c r="D112" s="19"/>
      <c r="E112" s="19"/>
      <c r="F112" s="8"/>
      <c r="G112" s="8"/>
      <c r="H112" s="23"/>
      <c r="I112" s="9"/>
      <c r="J112" s="9"/>
      <c r="K112" s="8"/>
    </row>
    <row r="113" spans="1:11">
      <c r="A113" s="19"/>
      <c r="B113" s="8"/>
      <c r="C113" s="31"/>
      <c r="D113" s="19"/>
      <c r="E113" s="19"/>
      <c r="F113" s="8"/>
      <c r="G113" s="8"/>
      <c r="H113" s="23"/>
      <c r="I113" s="9"/>
      <c r="J113" s="9"/>
      <c r="K113" s="8"/>
    </row>
    <row r="114" spans="1:11">
      <c r="A114" s="19"/>
      <c r="B114" s="8"/>
      <c r="C114" s="31"/>
      <c r="D114" s="19"/>
      <c r="E114" s="19"/>
      <c r="F114" s="8"/>
      <c r="G114" s="8"/>
      <c r="H114" s="23"/>
      <c r="I114" s="9"/>
      <c r="J114" s="9"/>
      <c r="K114" s="8"/>
    </row>
    <row r="115" spans="1:11">
      <c r="A115" s="19"/>
      <c r="B115" s="8"/>
      <c r="C115" s="31"/>
      <c r="D115" s="19"/>
      <c r="E115" s="19"/>
      <c r="F115" s="8"/>
      <c r="G115" s="8"/>
      <c r="H115" s="23"/>
      <c r="I115" s="9"/>
      <c r="J115" s="9"/>
      <c r="K115" s="8"/>
    </row>
    <row r="116" spans="1:11">
      <c r="A116" s="19"/>
      <c r="B116" s="8"/>
      <c r="C116" s="31"/>
      <c r="D116" s="19"/>
      <c r="E116" s="19"/>
      <c r="F116" s="8"/>
      <c r="G116" s="8"/>
      <c r="H116" s="23"/>
      <c r="I116" s="9"/>
      <c r="J116" s="9"/>
      <c r="K116" s="8"/>
    </row>
    <row r="117" spans="1:11">
      <c r="A117" s="19"/>
      <c r="B117" s="8"/>
      <c r="C117" s="31"/>
      <c r="D117" s="19"/>
      <c r="E117" s="19"/>
      <c r="F117" s="8"/>
      <c r="G117" s="8"/>
      <c r="H117" s="23"/>
      <c r="I117" s="9"/>
      <c r="J117" s="9"/>
      <c r="K117" s="8"/>
    </row>
    <row r="118" spans="1:11">
      <c r="A118" s="19"/>
      <c r="B118" s="8"/>
      <c r="C118" s="31"/>
      <c r="D118" s="19"/>
      <c r="E118" s="19"/>
      <c r="F118" s="8"/>
      <c r="G118" s="8"/>
      <c r="H118" s="23"/>
      <c r="I118" s="9"/>
      <c r="J118" s="9"/>
      <c r="K118" s="8"/>
    </row>
    <row r="119" spans="1:11">
      <c r="A119" s="19"/>
      <c r="B119" s="8"/>
      <c r="C119" s="31"/>
      <c r="D119" s="19"/>
      <c r="E119" s="19"/>
      <c r="F119" s="109"/>
      <c r="G119" s="8"/>
      <c r="H119" s="23"/>
      <c r="I119" s="9"/>
      <c r="J119" s="9"/>
      <c r="K119" s="8"/>
    </row>
    <row r="120" spans="1:11">
      <c r="A120" s="19"/>
      <c r="B120" s="8"/>
      <c r="C120" s="31"/>
      <c r="D120" s="19"/>
      <c r="E120" s="19"/>
      <c r="F120" s="8"/>
      <c r="G120" s="8"/>
      <c r="H120" s="23"/>
      <c r="I120" s="9"/>
      <c r="J120" s="9"/>
      <c r="K120" s="8"/>
    </row>
    <row r="121" spans="1:11">
      <c r="A121" s="19"/>
      <c r="B121" s="8"/>
      <c r="C121" s="31"/>
      <c r="D121" s="19"/>
      <c r="E121" s="19"/>
      <c r="F121" s="8"/>
      <c r="G121" s="8"/>
      <c r="H121" s="23"/>
      <c r="I121" s="9"/>
      <c r="J121" s="9"/>
      <c r="K121" s="8"/>
    </row>
    <row r="122" spans="1:11">
      <c r="A122" s="19"/>
      <c r="B122" s="8"/>
      <c r="C122" s="31"/>
      <c r="D122" s="19"/>
      <c r="E122" s="19"/>
      <c r="F122" s="8"/>
      <c r="G122" s="8"/>
      <c r="H122" s="23"/>
      <c r="I122" s="9"/>
      <c r="J122" s="9"/>
      <c r="K122" s="8"/>
    </row>
    <row r="123" spans="1:11">
      <c r="A123" s="19"/>
      <c r="B123" s="8"/>
      <c r="C123" s="31"/>
      <c r="D123" s="19"/>
      <c r="E123" s="19"/>
      <c r="F123" s="8"/>
      <c r="G123" s="8"/>
      <c r="H123" s="23"/>
      <c r="I123" s="9"/>
      <c r="J123" s="9"/>
      <c r="K123" s="8"/>
    </row>
    <row r="124" spans="1:11">
      <c r="A124" s="19"/>
      <c r="B124" s="8"/>
      <c r="C124" s="31"/>
      <c r="D124" s="19"/>
      <c r="E124" s="19"/>
      <c r="F124" s="110"/>
      <c r="G124" s="8"/>
      <c r="H124" s="23"/>
      <c r="I124" s="9"/>
      <c r="J124" s="9"/>
      <c r="K124" s="8"/>
    </row>
    <row r="125" spans="1:11">
      <c r="A125" s="19"/>
      <c r="B125" s="8"/>
      <c r="C125" s="31"/>
      <c r="D125" s="19"/>
      <c r="E125" s="19"/>
      <c r="F125" s="8"/>
      <c r="G125" s="8"/>
      <c r="H125" s="23"/>
      <c r="I125" s="9"/>
      <c r="J125" s="9"/>
      <c r="K125" s="8"/>
    </row>
    <row r="126" spans="1:11">
      <c r="A126" s="19"/>
      <c r="B126" s="8"/>
      <c r="C126" s="31"/>
      <c r="D126" s="19"/>
      <c r="E126" s="19"/>
      <c r="F126" s="8"/>
      <c r="G126" s="8"/>
      <c r="H126" s="23"/>
      <c r="I126" s="9"/>
      <c r="J126" s="9"/>
      <c r="K126" s="8"/>
    </row>
    <row r="127" spans="1:11">
      <c r="A127" s="19"/>
      <c r="B127" s="8"/>
      <c r="C127" s="31"/>
      <c r="D127" s="19"/>
      <c r="E127" s="19"/>
      <c r="F127" s="8"/>
      <c r="G127" s="8"/>
      <c r="H127" s="23"/>
      <c r="I127" s="9"/>
      <c r="J127" s="9"/>
      <c r="K127" s="8"/>
    </row>
    <row r="128" spans="1:11">
      <c r="A128" s="19"/>
      <c r="B128" s="8"/>
      <c r="C128" s="31"/>
      <c r="D128" s="19"/>
      <c r="E128" s="19"/>
      <c r="F128" s="8"/>
      <c r="G128" s="8"/>
      <c r="H128" s="23"/>
      <c r="I128" s="9"/>
      <c r="J128" s="9"/>
      <c r="K128" s="8"/>
    </row>
    <row r="129" spans="1:11">
      <c r="A129" s="19"/>
      <c r="B129" s="8"/>
      <c r="C129" s="31"/>
      <c r="D129" s="19"/>
      <c r="E129" s="19"/>
      <c r="F129" s="8"/>
      <c r="G129" s="8"/>
      <c r="H129" s="23"/>
      <c r="I129" s="9"/>
      <c r="J129" s="9"/>
      <c r="K129" s="8"/>
    </row>
    <row r="130" spans="1:11">
      <c r="A130" s="19"/>
      <c r="B130" s="8"/>
      <c r="C130" s="31"/>
      <c r="D130" s="19"/>
      <c r="E130" s="19"/>
      <c r="F130" s="8"/>
      <c r="G130" s="8"/>
      <c r="H130" s="23"/>
      <c r="I130" s="9"/>
      <c r="J130" s="9"/>
      <c r="K130" s="8"/>
    </row>
    <row r="131" spans="1:11">
      <c r="A131" s="19"/>
      <c r="B131" s="8"/>
      <c r="C131" s="31"/>
      <c r="D131" s="19"/>
      <c r="E131" s="19"/>
      <c r="F131" s="8"/>
      <c r="G131" s="8"/>
      <c r="H131" s="23"/>
      <c r="I131" s="9"/>
      <c r="J131" s="9"/>
      <c r="K131" s="8"/>
    </row>
    <row r="132" spans="1:11">
      <c r="A132" s="19"/>
      <c r="B132" s="8"/>
      <c r="C132" s="31"/>
      <c r="D132" s="19"/>
      <c r="E132" s="19"/>
      <c r="F132" s="8"/>
      <c r="G132" s="8"/>
      <c r="H132" s="23"/>
      <c r="I132" s="9"/>
      <c r="J132" s="9"/>
      <c r="K132" s="8"/>
    </row>
    <row r="133" spans="1:11">
      <c r="A133" s="19"/>
      <c r="B133" s="8"/>
      <c r="C133" s="31"/>
      <c r="D133" s="19"/>
      <c r="E133" s="19"/>
      <c r="F133" s="8"/>
      <c r="G133" s="8"/>
      <c r="H133" s="23"/>
      <c r="I133" s="9"/>
      <c r="J133" s="9"/>
      <c r="K133" s="8"/>
    </row>
    <row r="134" spans="1:11">
      <c r="A134" s="19"/>
      <c r="B134" s="8"/>
      <c r="C134" s="31"/>
      <c r="D134" s="19"/>
      <c r="E134" s="19"/>
      <c r="F134" s="8"/>
      <c r="G134" s="8"/>
      <c r="H134" s="23"/>
      <c r="I134" s="9"/>
      <c r="J134" s="9"/>
      <c r="K134" s="8"/>
    </row>
    <row r="135" spans="1:11">
      <c r="A135" s="19"/>
      <c r="B135" s="8"/>
      <c r="C135" s="31"/>
      <c r="D135" s="19"/>
      <c r="E135" s="19"/>
      <c r="F135" s="8"/>
      <c r="G135" s="8"/>
      <c r="H135" s="23"/>
      <c r="I135" s="9"/>
      <c r="J135" s="9"/>
      <c r="K135" s="8"/>
    </row>
    <row r="136" spans="1:11">
      <c r="A136" s="19"/>
      <c r="B136" s="8"/>
      <c r="C136" s="31"/>
      <c r="D136" s="19"/>
      <c r="E136" s="19"/>
      <c r="F136" s="8"/>
      <c r="G136" s="8"/>
      <c r="H136" s="23"/>
      <c r="I136" s="9"/>
      <c r="J136" s="9"/>
      <c r="K136" s="8"/>
    </row>
    <row r="137" spans="1:11">
      <c r="A137" s="19"/>
      <c r="B137" s="8"/>
      <c r="C137" s="31"/>
      <c r="D137" s="19"/>
      <c r="E137" s="19"/>
      <c r="F137" s="8"/>
      <c r="G137" s="8"/>
      <c r="H137" s="23"/>
      <c r="I137" s="9"/>
      <c r="J137" s="9"/>
      <c r="K137" s="8"/>
    </row>
    <row r="138" spans="1:11">
      <c r="A138" s="19"/>
      <c r="B138" s="8"/>
      <c r="C138" s="31"/>
      <c r="D138" s="19"/>
      <c r="E138" s="19"/>
      <c r="F138" s="8"/>
      <c r="G138" s="8"/>
      <c r="H138" s="23"/>
      <c r="I138" s="9"/>
      <c r="J138" s="9"/>
      <c r="K138" s="8"/>
    </row>
    <row r="139" spans="1:11">
      <c r="A139" s="19"/>
      <c r="B139" s="8"/>
      <c r="C139" s="31"/>
      <c r="D139" s="19"/>
      <c r="E139" s="19"/>
      <c r="F139" s="8"/>
      <c r="G139" s="8"/>
      <c r="H139" s="23"/>
      <c r="I139" s="9"/>
      <c r="J139" s="9"/>
      <c r="K139" s="8"/>
    </row>
    <row r="140" spans="1:11">
      <c r="A140" s="19"/>
      <c r="B140" s="8"/>
      <c r="C140" s="31"/>
      <c r="D140" s="19"/>
      <c r="E140" s="19"/>
      <c r="F140" s="8"/>
      <c r="G140" s="8"/>
      <c r="H140" s="23"/>
      <c r="I140" s="9"/>
      <c r="J140" s="9"/>
      <c r="K140" s="8"/>
    </row>
    <row r="141" spans="1:11">
      <c r="A141" s="19"/>
      <c r="B141" s="8"/>
      <c r="C141" s="31"/>
      <c r="D141" s="19"/>
      <c r="E141" s="19"/>
      <c r="F141" s="8"/>
      <c r="G141" s="8"/>
      <c r="H141" s="23"/>
      <c r="I141" s="9"/>
      <c r="J141" s="9"/>
      <c r="K141" s="8"/>
    </row>
    <row r="142" spans="1:11">
      <c r="A142" s="19"/>
      <c r="B142" s="8"/>
      <c r="C142" s="31"/>
      <c r="D142" s="19"/>
      <c r="E142" s="19"/>
      <c r="F142" s="8"/>
      <c r="G142" s="8"/>
      <c r="H142" s="23"/>
      <c r="I142" s="9"/>
      <c r="J142" s="9"/>
      <c r="K142" s="8"/>
    </row>
    <row r="143" spans="1:11">
      <c r="A143" s="19"/>
      <c r="B143" s="8"/>
      <c r="C143" s="31"/>
      <c r="D143" s="19"/>
      <c r="E143" s="19"/>
      <c r="F143" s="8"/>
      <c r="G143" s="8"/>
      <c r="H143" s="23"/>
      <c r="I143" s="9"/>
      <c r="J143" s="9"/>
      <c r="K143" s="8"/>
    </row>
    <row r="144" spans="1:11">
      <c r="A144" s="19"/>
      <c r="B144" s="8"/>
      <c r="C144" s="31"/>
      <c r="D144" s="19"/>
      <c r="E144" s="19"/>
      <c r="F144" s="8"/>
      <c r="G144" s="8"/>
      <c r="H144" s="23"/>
      <c r="I144" s="9"/>
      <c r="J144" s="9"/>
      <c r="K144" s="8"/>
    </row>
    <row r="145" spans="1:11">
      <c r="A145" s="19"/>
      <c r="B145" s="8"/>
      <c r="C145" s="31"/>
      <c r="D145" s="19"/>
      <c r="E145" s="19"/>
      <c r="F145" s="8"/>
      <c r="G145" s="8"/>
      <c r="H145" s="23"/>
      <c r="I145" s="9"/>
      <c r="J145" s="9"/>
      <c r="K145" s="8"/>
    </row>
    <row r="146" spans="1:11">
      <c r="A146" s="19"/>
      <c r="B146" s="8"/>
      <c r="C146" s="31"/>
      <c r="D146" s="19"/>
      <c r="E146" s="19"/>
      <c r="F146" s="8"/>
      <c r="G146" s="8"/>
      <c r="H146" s="23"/>
      <c r="I146" s="9"/>
      <c r="J146" s="9"/>
      <c r="K146" s="8"/>
    </row>
    <row r="147" spans="1:11">
      <c r="A147" s="19"/>
      <c r="B147" s="8"/>
      <c r="C147" s="31"/>
      <c r="D147" s="19"/>
      <c r="E147" s="19"/>
      <c r="F147" s="8"/>
      <c r="G147" s="8"/>
      <c r="H147" s="23"/>
      <c r="I147" s="9"/>
      <c r="J147" s="9"/>
      <c r="K147" s="8"/>
    </row>
    <row r="148" spans="1:11">
      <c r="A148" s="19"/>
      <c r="B148" s="8"/>
      <c r="C148" s="31"/>
      <c r="D148" s="19"/>
      <c r="E148" s="19"/>
      <c r="F148" s="8"/>
      <c r="G148" s="8"/>
      <c r="H148" s="23"/>
      <c r="I148" s="9"/>
      <c r="J148" s="9"/>
      <c r="K148" s="8"/>
    </row>
    <row r="149" spans="1:11">
      <c r="A149" s="19"/>
      <c r="B149" s="8"/>
      <c r="C149" s="31"/>
      <c r="D149" s="19"/>
      <c r="E149" s="19"/>
      <c r="F149" s="8"/>
      <c r="G149" s="8"/>
      <c r="H149" s="23"/>
      <c r="I149" s="9"/>
      <c r="J149" s="9"/>
      <c r="K149" s="8"/>
    </row>
    <row r="150" spans="1:11">
      <c r="A150" s="19"/>
      <c r="B150" s="8"/>
      <c r="C150" s="31"/>
      <c r="D150" s="19"/>
      <c r="E150" s="19"/>
      <c r="F150" s="8"/>
      <c r="G150" s="8"/>
      <c r="H150" s="23"/>
      <c r="I150" s="9"/>
      <c r="J150" s="9"/>
      <c r="K150" s="8"/>
    </row>
    <row r="151" spans="1:11">
      <c r="A151" s="19"/>
      <c r="B151" s="8"/>
      <c r="C151" s="31"/>
      <c r="D151" s="19"/>
      <c r="E151" s="19"/>
      <c r="F151" s="8"/>
      <c r="G151" s="8"/>
      <c r="H151" s="23"/>
      <c r="I151" s="9"/>
      <c r="J151" s="9"/>
      <c r="K151" s="8"/>
    </row>
    <row r="152" spans="1:11">
      <c r="A152" s="19"/>
      <c r="B152" s="8"/>
      <c r="C152" s="31"/>
      <c r="D152" s="19"/>
      <c r="E152" s="19"/>
      <c r="F152" s="8"/>
      <c r="G152" s="8"/>
      <c r="H152" s="23"/>
      <c r="I152" s="9"/>
      <c r="J152" s="9"/>
      <c r="K152" s="8"/>
    </row>
    <row r="153" spans="1:11">
      <c r="A153" s="19"/>
      <c r="B153" s="8"/>
      <c r="C153" s="31"/>
      <c r="D153" s="19"/>
      <c r="E153" s="19"/>
      <c r="F153" s="8"/>
      <c r="G153" s="8"/>
      <c r="H153" s="23"/>
      <c r="I153" s="9"/>
      <c r="J153" s="9"/>
      <c r="K153" s="8"/>
    </row>
    <row r="154" spans="1:11">
      <c r="A154" s="19"/>
      <c r="B154" s="8"/>
      <c r="C154" s="31"/>
      <c r="D154" s="19"/>
      <c r="E154" s="19"/>
      <c r="F154" s="8"/>
      <c r="G154" s="8"/>
      <c r="H154" s="23"/>
      <c r="I154" s="9"/>
      <c r="J154" s="9"/>
      <c r="K154" s="8"/>
    </row>
    <row r="155" spans="1:11">
      <c r="A155" s="19"/>
      <c r="B155" s="8"/>
      <c r="C155" s="31"/>
      <c r="D155" s="19"/>
      <c r="E155" s="19"/>
      <c r="F155" s="8"/>
      <c r="G155" s="8"/>
      <c r="H155" s="23"/>
      <c r="I155" s="9"/>
      <c r="J155" s="9"/>
      <c r="K155" s="8"/>
    </row>
    <row r="156" spans="1:11">
      <c r="A156" s="19"/>
      <c r="B156" s="8"/>
      <c r="C156" s="31"/>
      <c r="D156" s="19"/>
      <c r="E156" s="19"/>
      <c r="F156" s="8"/>
      <c r="G156" s="8"/>
      <c r="H156" s="23"/>
      <c r="I156" s="9"/>
      <c r="J156" s="9"/>
      <c r="K156" s="8"/>
    </row>
    <row r="157" spans="1:11">
      <c r="A157" s="19"/>
      <c r="B157" s="8"/>
      <c r="C157" s="31"/>
      <c r="D157" s="19"/>
      <c r="E157" s="19"/>
      <c r="F157" s="8"/>
      <c r="G157" s="8"/>
      <c r="H157" s="23"/>
      <c r="I157" s="9"/>
      <c r="J157" s="9"/>
      <c r="K157" s="8"/>
    </row>
    <row r="158" spans="1:11">
      <c r="A158" s="19"/>
      <c r="B158" s="8"/>
      <c r="C158" s="31"/>
      <c r="D158" s="19"/>
      <c r="E158" s="19"/>
      <c r="F158" s="8"/>
      <c r="G158" s="8"/>
      <c r="H158" s="23"/>
      <c r="I158" s="9"/>
      <c r="J158" s="9"/>
      <c r="K158" s="8"/>
    </row>
    <row r="159" spans="1:11">
      <c r="A159" s="19"/>
      <c r="B159" s="8"/>
      <c r="C159" s="31"/>
      <c r="D159" s="19"/>
      <c r="E159" s="19"/>
      <c r="F159" s="8"/>
      <c r="G159" s="8"/>
      <c r="H159" s="23"/>
      <c r="I159" s="9"/>
      <c r="J159" s="9"/>
      <c r="K159" s="8"/>
    </row>
    <row r="160" spans="1:11">
      <c r="A160" s="19"/>
      <c r="B160" s="8"/>
      <c r="C160" s="31"/>
      <c r="D160" s="19"/>
      <c r="E160" s="19"/>
      <c r="F160" s="8"/>
      <c r="G160" s="8"/>
      <c r="H160" s="23"/>
      <c r="I160" s="9"/>
      <c r="J160" s="9"/>
      <c r="K160" s="8"/>
    </row>
    <row r="161" spans="1:11">
      <c r="A161" s="19"/>
      <c r="B161" s="8"/>
      <c r="C161" s="31"/>
      <c r="D161" s="19"/>
      <c r="E161" s="19"/>
      <c r="F161" s="8"/>
      <c r="G161" s="8"/>
      <c r="H161" s="23"/>
      <c r="I161" s="9"/>
      <c r="J161" s="9"/>
      <c r="K161" s="8"/>
    </row>
    <row r="162" spans="1:11">
      <c r="A162" s="19"/>
      <c r="B162" s="8"/>
      <c r="C162" s="31"/>
      <c r="D162" s="19"/>
      <c r="E162" s="19"/>
      <c r="F162" s="8"/>
      <c r="G162" s="8"/>
      <c r="H162" s="23"/>
      <c r="I162" s="9"/>
      <c r="J162" s="9"/>
      <c r="K162" s="8"/>
    </row>
    <row r="163" spans="1:11">
      <c r="A163" s="19"/>
      <c r="B163" s="8"/>
      <c r="C163" s="31"/>
      <c r="D163" s="19"/>
      <c r="E163" s="19"/>
      <c r="F163" s="8"/>
      <c r="G163" s="8"/>
      <c r="H163" s="23"/>
      <c r="I163" s="9"/>
      <c r="J163" s="9"/>
      <c r="K163" s="8"/>
    </row>
    <row r="164" spans="1:11">
      <c r="A164" s="19"/>
      <c r="B164" s="8"/>
      <c r="C164" s="31"/>
      <c r="D164" s="19"/>
      <c r="E164" s="19"/>
      <c r="F164" s="8"/>
      <c r="G164" s="8"/>
      <c r="H164" s="23"/>
      <c r="I164" s="9"/>
      <c r="J164" s="9"/>
      <c r="K164" s="8"/>
    </row>
    <row r="165" spans="1:11" s="26" customFormat="1">
      <c r="A165" s="19"/>
      <c r="B165" s="8"/>
      <c r="C165" s="31"/>
      <c r="D165" s="19"/>
      <c r="E165" s="19"/>
      <c r="F165" s="8"/>
      <c r="G165" s="8"/>
      <c r="H165" s="23"/>
      <c r="I165" s="9"/>
      <c r="J165" s="9"/>
      <c r="K165" s="8"/>
    </row>
    <row r="166" spans="1:11">
      <c r="A166" s="19"/>
      <c r="B166" s="8"/>
      <c r="C166" s="31"/>
      <c r="D166" s="19"/>
      <c r="E166" s="19"/>
      <c r="F166" s="8"/>
      <c r="G166" s="8"/>
      <c r="H166" s="23"/>
      <c r="I166" s="9"/>
      <c r="J166" s="9"/>
      <c r="K166" s="8"/>
    </row>
    <row r="167" spans="1:11">
      <c r="A167" s="19"/>
      <c r="B167" s="8"/>
      <c r="C167" s="31"/>
      <c r="D167" s="19"/>
      <c r="E167" s="19"/>
      <c r="F167" s="8"/>
      <c r="G167" s="8"/>
      <c r="H167" s="23"/>
      <c r="I167" s="9"/>
      <c r="J167" s="9"/>
      <c r="K167" s="8"/>
    </row>
    <row r="168" spans="1:11">
      <c r="A168" s="19"/>
      <c r="B168" s="8"/>
      <c r="C168" s="31"/>
      <c r="D168" s="19"/>
      <c r="E168" s="19"/>
      <c r="F168" s="8"/>
      <c r="G168" s="8"/>
      <c r="H168" s="23"/>
      <c r="I168" s="9"/>
      <c r="J168" s="9"/>
      <c r="K168" s="8"/>
    </row>
    <row r="169" spans="1:11">
      <c r="A169" s="19"/>
      <c r="B169" s="8"/>
      <c r="C169" s="31"/>
      <c r="D169" s="19"/>
      <c r="E169" s="19"/>
      <c r="F169" s="8"/>
      <c r="G169" s="8"/>
      <c r="H169" s="23"/>
      <c r="I169" s="9"/>
      <c r="J169" s="9"/>
      <c r="K169" s="8"/>
    </row>
    <row r="170" spans="1:11">
      <c r="A170" s="19"/>
      <c r="B170" s="8"/>
      <c r="C170" s="31"/>
      <c r="D170" s="19"/>
      <c r="E170" s="19"/>
      <c r="F170" s="8"/>
      <c r="G170" s="8"/>
      <c r="H170" s="23"/>
      <c r="I170" s="9"/>
      <c r="J170" s="9"/>
      <c r="K170" s="8"/>
    </row>
    <row r="171" spans="1:11">
      <c r="A171" s="19"/>
      <c r="B171" s="8"/>
      <c r="C171" s="31"/>
      <c r="D171" s="19"/>
      <c r="E171" s="19"/>
      <c r="F171" s="8"/>
      <c r="G171" s="8"/>
      <c r="H171" s="23"/>
      <c r="I171" s="9"/>
      <c r="J171" s="9"/>
      <c r="K171" s="8"/>
    </row>
    <row r="172" spans="1:11">
      <c r="A172" s="19"/>
      <c r="B172" s="8"/>
      <c r="C172" s="31"/>
      <c r="D172" s="19"/>
      <c r="E172" s="19"/>
      <c r="F172" s="8"/>
      <c r="G172" s="8"/>
      <c r="H172" s="23"/>
      <c r="I172" s="9"/>
      <c r="J172" s="9"/>
      <c r="K172" s="8"/>
    </row>
    <row r="173" spans="1:11">
      <c r="A173" s="19"/>
      <c r="B173" s="8"/>
      <c r="C173" s="31"/>
      <c r="D173" s="19"/>
      <c r="E173" s="19"/>
      <c r="F173" s="8"/>
      <c r="G173" s="8"/>
      <c r="H173" s="23"/>
      <c r="I173" s="9"/>
      <c r="J173" s="9"/>
      <c r="K173" s="8"/>
    </row>
    <row r="174" spans="1:11">
      <c r="A174" s="19"/>
      <c r="B174" s="8"/>
      <c r="C174" s="31"/>
      <c r="D174" s="19"/>
      <c r="E174" s="19"/>
      <c r="F174" s="8"/>
      <c r="G174" s="8"/>
      <c r="H174" s="23"/>
      <c r="I174" s="9"/>
      <c r="J174" s="9"/>
      <c r="K174" s="8"/>
    </row>
    <row r="175" spans="1:11">
      <c r="A175" s="19"/>
      <c r="B175" s="8"/>
      <c r="C175" s="31"/>
      <c r="D175" s="19"/>
      <c r="E175" s="19"/>
      <c r="F175" s="8"/>
      <c r="G175" s="8"/>
      <c r="H175" s="23"/>
      <c r="I175" s="9"/>
      <c r="J175" s="9"/>
      <c r="K175" s="8"/>
    </row>
    <row r="176" spans="1:11">
      <c r="A176" s="19"/>
      <c r="B176" s="8"/>
      <c r="C176" s="31"/>
      <c r="D176" s="19"/>
      <c r="E176" s="19"/>
      <c r="F176" s="8"/>
      <c r="G176" s="8"/>
      <c r="H176" s="23"/>
      <c r="I176" s="9"/>
      <c r="J176" s="9"/>
      <c r="K176" s="8"/>
    </row>
    <row r="177" spans="1:11">
      <c r="A177" s="19"/>
      <c r="B177" s="8"/>
      <c r="C177" s="31"/>
      <c r="D177" s="19"/>
      <c r="E177" s="19"/>
      <c r="F177" s="8"/>
      <c r="G177" s="8"/>
      <c r="H177" s="23"/>
      <c r="I177" s="9"/>
      <c r="J177" s="9"/>
      <c r="K177" s="8"/>
    </row>
    <row r="178" spans="1:11">
      <c r="A178" s="19"/>
      <c r="B178" s="8"/>
      <c r="C178" s="31"/>
      <c r="D178" s="19"/>
      <c r="E178" s="19"/>
      <c r="F178" s="8"/>
      <c r="G178" s="8"/>
      <c r="H178" s="23"/>
      <c r="I178" s="9"/>
      <c r="J178" s="9"/>
      <c r="K178" s="8"/>
    </row>
    <row r="179" spans="1:11">
      <c r="A179" s="19"/>
      <c r="B179" s="8"/>
      <c r="C179" s="31"/>
      <c r="D179" s="19"/>
      <c r="E179" s="19"/>
      <c r="F179" s="8"/>
      <c r="G179" s="8"/>
      <c r="H179" s="23"/>
      <c r="I179" s="9"/>
      <c r="J179" s="9"/>
      <c r="K179" s="8"/>
    </row>
    <row r="180" spans="1:11">
      <c r="A180" s="19"/>
      <c r="B180" s="8"/>
      <c r="C180" s="31"/>
      <c r="D180" s="19"/>
      <c r="E180" s="19"/>
      <c r="F180" s="8"/>
      <c r="G180" s="8"/>
      <c r="H180" s="23"/>
      <c r="I180" s="9"/>
      <c r="J180" s="9"/>
      <c r="K180" s="8"/>
    </row>
    <row r="181" spans="1:11">
      <c r="A181" s="19"/>
      <c r="B181" s="8"/>
      <c r="C181" s="31"/>
      <c r="D181" s="19"/>
      <c r="E181" s="19"/>
      <c r="F181" s="8"/>
      <c r="G181" s="8"/>
      <c r="H181" s="23"/>
      <c r="I181" s="9"/>
      <c r="J181" s="9"/>
      <c r="K181" s="8"/>
    </row>
    <row r="182" spans="1:11">
      <c r="A182" s="19"/>
      <c r="B182" s="8"/>
      <c r="C182" s="31"/>
      <c r="D182" s="19"/>
      <c r="E182" s="19"/>
      <c r="F182" s="8"/>
      <c r="G182" s="8"/>
      <c r="H182" s="23"/>
      <c r="I182" s="9"/>
      <c r="J182" s="9"/>
      <c r="K182" s="8"/>
    </row>
    <row r="183" spans="1:11">
      <c r="A183" s="19"/>
      <c r="B183" s="8"/>
      <c r="C183" s="31"/>
      <c r="D183" s="19"/>
      <c r="E183" s="19"/>
      <c r="F183" s="8"/>
      <c r="G183" s="8"/>
      <c r="H183" s="23"/>
      <c r="I183" s="9"/>
      <c r="J183" s="9"/>
      <c r="K183" s="8"/>
    </row>
    <row r="184" spans="1:11">
      <c r="A184" s="19"/>
      <c r="B184" s="8"/>
      <c r="C184" s="31"/>
      <c r="D184" s="19"/>
      <c r="E184" s="19"/>
      <c r="F184" s="8"/>
      <c r="G184" s="8"/>
      <c r="H184" s="23"/>
      <c r="I184" s="9"/>
      <c r="J184" s="9"/>
      <c r="K184" s="8"/>
    </row>
    <row r="185" spans="1:11">
      <c r="A185" s="19"/>
      <c r="B185" s="8"/>
      <c r="C185" s="31"/>
      <c r="D185" s="19"/>
      <c r="E185" s="19"/>
      <c r="F185" s="8"/>
      <c r="G185" s="8"/>
      <c r="H185" s="23"/>
      <c r="I185" s="9"/>
      <c r="J185" s="9"/>
      <c r="K185" s="8"/>
    </row>
    <row r="186" spans="1:11">
      <c r="A186" s="19"/>
      <c r="B186" s="8"/>
      <c r="C186" s="31"/>
      <c r="D186" s="19"/>
      <c r="E186" s="19"/>
      <c r="F186" s="8"/>
      <c r="G186" s="8"/>
      <c r="H186" s="23"/>
      <c r="I186" s="9"/>
      <c r="J186" s="9"/>
      <c r="K186" s="8"/>
    </row>
    <row r="187" spans="1:11">
      <c r="A187" s="19"/>
      <c r="B187" s="8"/>
      <c r="C187" s="31"/>
      <c r="D187" s="19"/>
      <c r="E187" s="19"/>
      <c r="F187" s="8"/>
      <c r="G187" s="8"/>
      <c r="H187" s="23"/>
      <c r="I187" s="9"/>
      <c r="J187" s="9"/>
      <c r="K187" s="8"/>
    </row>
    <row r="188" spans="1:11">
      <c r="A188" s="19"/>
      <c r="B188" s="8"/>
      <c r="C188" s="31"/>
      <c r="D188" s="19"/>
      <c r="E188" s="19"/>
      <c r="F188" s="8"/>
      <c r="G188" s="8"/>
      <c r="H188" s="23"/>
      <c r="I188" s="9"/>
      <c r="J188" s="9"/>
      <c r="K188" s="8"/>
    </row>
    <row r="189" spans="1:11">
      <c r="A189" s="19"/>
      <c r="B189" s="8"/>
      <c r="C189" s="31"/>
      <c r="D189" s="19"/>
      <c r="E189" s="19"/>
      <c r="F189" s="8"/>
      <c r="G189" s="8"/>
      <c r="H189" s="23"/>
      <c r="I189" s="9"/>
      <c r="J189" s="9"/>
      <c r="K189" s="8"/>
    </row>
    <row r="190" spans="1:11">
      <c r="A190" s="19"/>
      <c r="B190" s="8"/>
      <c r="C190" s="31"/>
      <c r="D190" s="19"/>
      <c r="E190" s="19"/>
      <c r="F190" s="8"/>
      <c r="G190" s="8"/>
      <c r="H190" s="23"/>
      <c r="I190" s="9"/>
      <c r="J190" s="9"/>
      <c r="K190" s="8"/>
    </row>
    <row r="191" spans="1:11">
      <c r="A191" s="19"/>
      <c r="B191" s="8"/>
      <c r="C191" s="31"/>
      <c r="D191" s="19"/>
      <c r="E191" s="19"/>
      <c r="F191" s="8"/>
      <c r="G191" s="8"/>
      <c r="H191" s="23"/>
      <c r="I191" s="9"/>
      <c r="J191" s="9"/>
      <c r="K191" s="8"/>
    </row>
    <row r="192" spans="1:11">
      <c r="A192" s="19"/>
      <c r="B192" s="8"/>
      <c r="C192" s="31"/>
      <c r="D192" s="19"/>
      <c r="E192" s="19"/>
      <c r="F192" s="8"/>
      <c r="G192" s="8"/>
      <c r="H192" s="23"/>
      <c r="I192" s="9"/>
      <c r="J192" s="9"/>
      <c r="K192" s="8"/>
    </row>
    <row r="193" spans="1:12">
      <c r="A193" s="19"/>
      <c r="B193" s="8"/>
      <c r="C193" s="31"/>
      <c r="D193" s="19"/>
      <c r="E193" s="19"/>
      <c r="F193" s="8"/>
      <c r="G193" s="8"/>
      <c r="H193" s="23"/>
      <c r="I193" s="9"/>
      <c r="J193" s="9"/>
      <c r="K193" s="8"/>
    </row>
    <row r="194" spans="1:12">
      <c r="A194" s="19"/>
      <c r="B194" s="8"/>
      <c r="C194" s="31"/>
      <c r="D194" s="19"/>
      <c r="E194" s="19"/>
      <c r="F194" s="8"/>
      <c r="G194" s="8"/>
      <c r="H194" s="23"/>
      <c r="I194" s="9"/>
      <c r="J194" s="9"/>
      <c r="K194" s="8"/>
    </row>
    <row r="195" spans="1:12">
      <c r="A195" s="19"/>
      <c r="B195" s="8"/>
      <c r="C195" s="31"/>
      <c r="D195" s="19"/>
      <c r="E195" s="19"/>
      <c r="F195" s="8"/>
      <c r="G195" s="8"/>
      <c r="H195" s="23"/>
      <c r="I195" s="9"/>
      <c r="J195" s="9"/>
      <c r="K195" s="8"/>
    </row>
    <row r="196" spans="1:12">
      <c r="A196" s="19"/>
      <c r="B196" s="8"/>
      <c r="C196" s="31"/>
      <c r="D196" s="19"/>
      <c r="E196" s="19"/>
      <c r="F196" s="8"/>
      <c r="G196" s="8"/>
      <c r="H196" s="23"/>
      <c r="I196" s="9"/>
      <c r="J196" s="9"/>
      <c r="K196" s="8"/>
    </row>
    <row r="197" spans="1:12">
      <c r="A197" s="19"/>
      <c r="B197" s="8"/>
      <c r="C197" s="31"/>
      <c r="D197" s="19"/>
      <c r="E197" s="19"/>
      <c r="F197" s="8"/>
      <c r="G197" s="8"/>
      <c r="H197" s="23"/>
      <c r="I197" s="9"/>
      <c r="J197" s="9"/>
      <c r="K197" s="8"/>
    </row>
    <row r="198" spans="1:12">
      <c r="A198" s="19"/>
      <c r="B198" s="8"/>
      <c r="C198" s="31"/>
      <c r="D198" s="19"/>
      <c r="E198" s="19"/>
      <c r="F198" s="8"/>
      <c r="G198" s="8"/>
      <c r="H198" s="23"/>
      <c r="I198" s="9"/>
      <c r="J198" s="9"/>
      <c r="K198" s="8"/>
    </row>
    <row r="199" spans="1:12">
      <c r="A199" s="19"/>
      <c r="B199" s="8"/>
      <c r="C199" s="31"/>
      <c r="D199" s="19"/>
      <c r="E199" s="19"/>
      <c r="F199" s="8"/>
      <c r="G199" s="8"/>
      <c r="H199" s="23"/>
      <c r="I199" s="9"/>
      <c r="J199" s="9"/>
      <c r="K199" s="8"/>
    </row>
    <row r="200" spans="1:12">
      <c r="A200" s="19"/>
      <c r="B200" s="8"/>
      <c r="C200" s="31"/>
      <c r="D200" s="19"/>
      <c r="E200" s="19"/>
      <c r="F200" s="8"/>
      <c r="G200" s="8"/>
      <c r="H200" s="23"/>
      <c r="I200" s="9"/>
      <c r="J200" s="9"/>
      <c r="K200" s="8"/>
    </row>
    <row r="201" spans="1:12">
      <c r="A201" s="19"/>
      <c r="B201" s="8"/>
      <c r="C201" s="31"/>
      <c r="D201" s="19"/>
      <c r="E201" s="19"/>
      <c r="F201" s="8"/>
      <c r="G201" s="8"/>
      <c r="H201" s="23"/>
      <c r="I201" s="9"/>
      <c r="J201" s="9"/>
      <c r="K201" s="8"/>
    </row>
    <row r="202" spans="1:12">
      <c r="A202" s="19"/>
      <c r="B202" s="8"/>
      <c r="C202" s="31"/>
      <c r="D202" s="19"/>
      <c r="E202" s="19"/>
      <c r="F202" s="8"/>
      <c r="G202" s="8"/>
      <c r="H202" s="23"/>
      <c r="I202" s="9"/>
      <c r="J202" s="9"/>
      <c r="K202" s="8"/>
    </row>
    <row r="203" spans="1:12">
      <c r="A203" s="19"/>
      <c r="B203" s="8"/>
      <c r="C203" s="31"/>
      <c r="D203" s="19"/>
      <c r="E203" s="19"/>
      <c r="F203" s="8"/>
      <c r="G203" s="8"/>
      <c r="H203" s="23"/>
      <c r="I203" s="9"/>
      <c r="J203" s="9"/>
      <c r="K203" s="8"/>
    </row>
    <row r="204" spans="1:12">
      <c r="A204" s="19"/>
      <c r="B204" s="8"/>
      <c r="C204" s="31"/>
      <c r="D204" s="19"/>
      <c r="E204" s="19"/>
      <c r="F204" s="8"/>
      <c r="G204" s="8"/>
      <c r="H204" s="23"/>
      <c r="I204" s="9"/>
      <c r="J204" s="9"/>
      <c r="K204" s="8"/>
      <c r="L204" s="1"/>
    </row>
    <row r="205" spans="1:12">
      <c r="A205" s="175"/>
      <c r="B205" s="176"/>
      <c r="C205" s="8"/>
      <c r="D205" s="19"/>
      <c r="E205" s="19"/>
      <c r="F205" s="8"/>
      <c r="G205" s="8"/>
      <c r="H205" s="23"/>
      <c r="I205" s="9"/>
      <c r="J205" s="9"/>
      <c r="K205" s="8"/>
      <c r="L205" s="1"/>
    </row>
    <row r="206" spans="1:12">
      <c r="A206" s="19"/>
      <c r="B206" s="8"/>
      <c r="C206" s="31"/>
      <c r="D206" s="19"/>
      <c r="E206" s="19"/>
      <c r="F206" s="8"/>
      <c r="G206" s="8"/>
      <c r="H206" s="23"/>
      <c r="I206" s="9"/>
      <c r="J206" s="9"/>
      <c r="K206" s="8"/>
    </row>
    <row r="207" spans="1:12">
      <c r="A207" s="19"/>
      <c r="B207" s="8"/>
      <c r="C207" s="8"/>
      <c r="D207" s="19"/>
      <c r="E207" s="19"/>
      <c r="F207" s="8"/>
      <c r="G207" s="8"/>
      <c r="H207" s="23"/>
      <c r="I207" s="9"/>
      <c r="J207" s="9"/>
      <c r="K207" s="8"/>
    </row>
    <row r="208" spans="1:12">
      <c r="A208" s="19"/>
      <c r="B208" s="8"/>
      <c r="C208" s="8"/>
      <c r="D208" s="19"/>
      <c r="E208" s="19"/>
      <c r="F208" s="8"/>
      <c r="G208" s="8"/>
      <c r="H208" s="23"/>
      <c r="I208" s="9"/>
      <c r="J208" s="9"/>
      <c r="K208" s="8"/>
    </row>
    <row r="209" spans="2:10">
      <c r="J209" s="1">
        <f>1598764.46</f>
        <v>1598764.46</v>
      </c>
    </row>
    <row r="210" spans="2:10">
      <c r="B210" t="s">
        <v>77</v>
      </c>
    </row>
  </sheetData>
  <mergeCells count="2">
    <mergeCell ref="A1:K1"/>
    <mergeCell ref="A205:B205"/>
  </mergeCells>
  <pageMargins left="0.70866141732283472" right="0.70866141732283472" top="0.23622047244094491" bottom="0.43307086614173229" header="0.31496062992125984" footer="0.31496062992125984"/>
  <pageSetup paperSize="9" scale="90" orientation="landscape" verticalDpi="0" r:id="rId1"/>
  <rowBreaks count="1" manualBreakCount="1">
    <brk id="38" max="16383" man="1"/>
  </rowBreaks>
  <colBreaks count="1" manualBreakCount="1">
    <brk id="10" max="20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O210"/>
  <sheetViews>
    <sheetView view="pageBreakPreview" topLeftCell="A169" zoomScaleSheetLayoutView="100" workbookViewId="0">
      <selection activeCell="F184" sqref="F184"/>
    </sheetView>
  </sheetViews>
  <sheetFormatPr defaultRowHeight="15"/>
  <cols>
    <col min="1" max="1" width="3.85546875" style="18" customWidth="1"/>
    <col min="2" max="2" width="29.42578125" customWidth="1"/>
    <col min="3" max="3" width="28.42578125" customWidth="1"/>
    <col min="4" max="4" width="12.28515625" style="18" customWidth="1"/>
    <col min="5" max="5" width="9.140625" style="18"/>
    <col min="6" max="6" width="32.140625" customWidth="1"/>
    <col min="7" max="7" width="9.140625" customWidth="1"/>
    <col min="8" max="8" width="9.140625" style="25" customWidth="1"/>
    <col min="9" max="9" width="14.7109375" style="1" customWidth="1"/>
    <col min="10" max="10" width="13.85546875" style="1" customWidth="1"/>
    <col min="11" max="11" width="12.42578125" customWidth="1"/>
    <col min="12" max="12" width="20.7109375" customWidth="1"/>
  </cols>
  <sheetData>
    <row r="1" spans="1:15" ht="18.75">
      <c r="A1" s="174" t="s">
        <v>114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5" ht="45">
      <c r="A2" s="20" t="s">
        <v>0</v>
      </c>
      <c r="B2" s="2" t="s">
        <v>1</v>
      </c>
      <c r="C2" s="2" t="s">
        <v>2</v>
      </c>
      <c r="D2" s="11" t="s">
        <v>66</v>
      </c>
      <c r="E2" s="11" t="s">
        <v>4</v>
      </c>
      <c r="F2" s="2" t="s">
        <v>5</v>
      </c>
      <c r="G2" s="2" t="s">
        <v>6</v>
      </c>
      <c r="H2" s="21" t="s">
        <v>7</v>
      </c>
      <c r="I2" s="3" t="s">
        <v>8</v>
      </c>
      <c r="J2" s="3" t="s">
        <v>9</v>
      </c>
      <c r="K2" s="2" t="s">
        <v>67</v>
      </c>
    </row>
    <row r="3" spans="1:15">
      <c r="A3" s="11">
        <v>1</v>
      </c>
      <c r="B3" s="2" t="s">
        <v>68</v>
      </c>
      <c r="C3" s="10" t="s">
        <v>115</v>
      </c>
      <c r="D3" s="11">
        <v>611021</v>
      </c>
      <c r="E3" s="11">
        <v>1113</v>
      </c>
      <c r="F3" s="2" t="s">
        <v>116</v>
      </c>
      <c r="G3" s="2" t="s">
        <v>12</v>
      </c>
      <c r="H3" s="21">
        <v>1</v>
      </c>
      <c r="I3" s="3">
        <f>1169.22</f>
        <v>1169.22</v>
      </c>
      <c r="J3" s="3">
        <f>H3*I3</f>
        <v>1169.22</v>
      </c>
      <c r="K3" s="3"/>
    </row>
    <row r="4" spans="1:15">
      <c r="A4" s="11"/>
      <c r="B4" s="2" t="s">
        <v>68</v>
      </c>
      <c r="C4" s="10" t="s">
        <v>115</v>
      </c>
      <c r="D4" s="11">
        <v>611021</v>
      </c>
      <c r="E4" s="11">
        <v>1113</v>
      </c>
      <c r="F4" s="2" t="s">
        <v>117</v>
      </c>
      <c r="G4" s="2" t="s">
        <v>12</v>
      </c>
      <c r="H4" s="21">
        <v>1</v>
      </c>
      <c r="I4" s="3">
        <f>623.22</f>
        <v>623.22</v>
      </c>
      <c r="J4" s="3">
        <f t="shared" ref="J4:J28" si="0">H4*I4</f>
        <v>623.22</v>
      </c>
      <c r="K4" s="2"/>
    </row>
    <row r="5" spans="1:15">
      <c r="A5" s="11"/>
      <c r="B5" s="2" t="s">
        <v>68</v>
      </c>
      <c r="C5" s="10" t="s">
        <v>115</v>
      </c>
      <c r="D5" s="11">
        <v>611021</v>
      </c>
      <c r="E5" s="11">
        <v>1113</v>
      </c>
      <c r="F5" s="2" t="s">
        <v>118</v>
      </c>
      <c r="G5" s="2" t="s">
        <v>12</v>
      </c>
      <c r="H5" s="21">
        <v>1</v>
      </c>
      <c r="I5" s="3">
        <f>1091.22</f>
        <v>1091.22</v>
      </c>
      <c r="J5" s="3">
        <f t="shared" si="0"/>
        <v>1091.22</v>
      </c>
      <c r="K5" s="2"/>
    </row>
    <row r="6" spans="1:15">
      <c r="A6" s="11"/>
      <c r="B6" s="2" t="s">
        <v>68</v>
      </c>
      <c r="C6" s="10" t="s">
        <v>115</v>
      </c>
      <c r="D6" s="11">
        <v>613230</v>
      </c>
      <c r="E6" s="11" t="s">
        <v>11</v>
      </c>
      <c r="F6" s="2" t="s">
        <v>119</v>
      </c>
      <c r="G6" s="2" t="s">
        <v>12</v>
      </c>
      <c r="H6" s="21">
        <v>26</v>
      </c>
      <c r="I6" s="3">
        <f>77.22</f>
        <v>77.22</v>
      </c>
      <c r="J6" s="3">
        <f t="shared" si="0"/>
        <v>2007.72</v>
      </c>
      <c r="K6" s="2"/>
    </row>
    <row r="7" spans="1:15">
      <c r="A7" s="11"/>
      <c r="B7" s="2" t="s">
        <v>68</v>
      </c>
      <c r="C7" s="10" t="s">
        <v>115</v>
      </c>
      <c r="D7" s="11">
        <v>613230</v>
      </c>
      <c r="E7" s="11" t="s">
        <v>11</v>
      </c>
      <c r="F7" s="2" t="s">
        <v>120</v>
      </c>
      <c r="G7" s="2" t="s">
        <v>12</v>
      </c>
      <c r="H7" s="21">
        <v>20</v>
      </c>
      <c r="I7" s="3">
        <f>155.22</f>
        <v>155.22</v>
      </c>
      <c r="J7" s="3">
        <f t="shared" si="0"/>
        <v>3104.4</v>
      </c>
      <c r="K7" s="2"/>
    </row>
    <row r="8" spans="1:15">
      <c r="A8" s="11"/>
      <c r="B8" s="2" t="s">
        <v>68</v>
      </c>
      <c r="C8" s="10" t="s">
        <v>115</v>
      </c>
      <c r="D8" s="11">
        <v>613230</v>
      </c>
      <c r="E8" s="11" t="s">
        <v>11</v>
      </c>
      <c r="F8" s="2" t="s">
        <v>121</v>
      </c>
      <c r="G8" s="2" t="s">
        <v>12</v>
      </c>
      <c r="H8" s="21">
        <v>20</v>
      </c>
      <c r="I8" s="3">
        <f>233.22</f>
        <v>233.22</v>
      </c>
      <c r="J8" s="3">
        <f t="shared" si="0"/>
        <v>4664.3999999999996</v>
      </c>
      <c r="K8" s="2"/>
    </row>
    <row r="9" spans="1:15">
      <c r="A9" s="11"/>
      <c r="B9" s="2" t="s">
        <v>68</v>
      </c>
      <c r="C9" s="10" t="s">
        <v>115</v>
      </c>
      <c r="D9" s="11">
        <v>613230</v>
      </c>
      <c r="E9" s="11" t="s">
        <v>11</v>
      </c>
      <c r="F9" s="2" t="s">
        <v>122</v>
      </c>
      <c r="G9" s="2" t="s">
        <v>12</v>
      </c>
      <c r="H9" s="21">
        <v>20</v>
      </c>
      <c r="I9" s="3">
        <f>69.42</f>
        <v>69.42</v>
      </c>
      <c r="J9" s="3">
        <f t="shared" si="0"/>
        <v>1388.4</v>
      </c>
      <c r="K9" s="2"/>
    </row>
    <row r="10" spans="1:15">
      <c r="A10" s="11"/>
      <c r="B10" s="2" t="s">
        <v>68</v>
      </c>
      <c r="C10" s="10" t="s">
        <v>115</v>
      </c>
      <c r="D10" s="11">
        <v>613230</v>
      </c>
      <c r="E10" s="11" t="s">
        <v>11</v>
      </c>
      <c r="F10" s="2" t="s">
        <v>123</v>
      </c>
      <c r="G10" s="2" t="s">
        <v>12</v>
      </c>
      <c r="H10" s="21">
        <v>20</v>
      </c>
      <c r="I10" s="3">
        <f>623.22</f>
        <v>623.22</v>
      </c>
      <c r="J10" s="3">
        <f t="shared" si="0"/>
        <v>12464.400000000001</v>
      </c>
      <c r="K10" s="2"/>
    </row>
    <row r="11" spans="1:15">
      <c r="A11" s="11"/>
      <c r="B11" s="2" t="s">
        <v>68</v>
      </c>
      <c r="C11" s="10" t="s">
        <v>115</v>
      </c>
      <c r="D11" s="11">
        <v>613230</v>
      </c>
      <c r="E11" s="11" t="s">
        <v>11</v>
      </c>
      <c r="F11" s="2" t="s">
        <v>124</v>
      </c>
      <c r="G11" s="2" t="s">
        <v>12</v>
      </c>
      <c r="H11" s="21">
        <v>20</v>
      </c>
      <c r="I11" s="3">
        <f>350.22</f>
        <v>350.22</v>
      </c>
      <c r="J11" s="3">
        <f t="shared" si="0"/>
        <v>7004.4000000000005</v>
      </c>
      <c r="K11" s="2"/>
    </row>
    <row r="12" spans="1:15">
      <c r="A12" s="11"/>
      <c r="B12" s="2" t="s">
        <v>68</v>
      </c>
      <c r="C12" s="10" t="s">
        <v>115</v>
      </c>
      <c r="D12" s="11">
        <v>613230</v>
      </c>
      <c r="E12" s="11" t="s">
        <v>125</v>
      </c>
      <c r="F12" s="2" t="s">
        <v>126</v>
      </c>
      <c r="G12" s="2" t="s">
        <v>12</v>
      </c>
      <c r="H12" s="21">
        <f>158+158</f>
        <v>316</v>
      </c>
      <c r="I12" s="3">
        <f>33.25</f>
        <v>33.25</v>
      </c>
      <c r="J12" s="3">
        <f t="shared" si="0"/>
        <v>10507</v>
      </c>
      <c r="K12" s="2"/>
    </row>
    <row r="13" spans="1:15">
      <c r="A13" s="11"/>
      <c r="B13" s="2" t="s">
        <v>68</v>
      </c>
      <c r="C13" s="10" t="s">
        <v>127</v>
      </c>
      <c r="D13" s="11">
        <v>613242</v>
      </c>
      <c r="E13" s="11" t="s">
        <v>134</v>
      </c>
      <c r="F13" s="2" t="s">
        <v>128</v>
      </c>
      <c r="G13" s="2" t="s">
        <v>12</v>
      </c>
      <c r="H13" s="21">
        <v>60</v>
      </c>
      <c r="I13" s="3">
        <v>15</v>
      </c>
      <c r="J13" s="3">
        <f t="shared" si="0"/>
        <v>900</v>
      </c>
      <c r="K13" s="2"/>
      <c r="L13" s="1">
        <f>K3+K4+K5+K18+K20+K21+K22+K23+K24+K25</f>
        <v>0</v>
      </c>
    </row>
    <row r="14" spans="1:15">
      <c r="A14" s="11"/>
      <c r="B14" s="2" t="s">
        <v>68</v>
      </c>
      <c r="C14" s="10" t="s">
        <v>127</v>
      </c>
      <c r="D14" s="11">
        <v>613242</v>
      </c>
      <c r="E14" s="11" t="s">
        <v>134</v>
      </c>
      <c r="F14" s="2" t="s">
        <v>129</v>
      </c>
      <c r="G14" s="2" t="s">
        <v>12</v>
      </c>
      <c r="H14" s="21">
        <v>1</v>
      </c>
      <c r="I14" s="3">
        <v>29</v>
      </c>
      <c r="J14" s="3">
        <f t="shared" si="0"/>
        <v>29</v>
      </c>
      <c r="K14" s="2"/>
    </row>
    <row r="15" spans="1:15">
      <c r="A15" s="11"/>
      <c r="B15" s="2" t="s">
        <v>68</v>
      </c>
      <c r="C15" s="10" t="s">
        <v>127</v>
      </c>
      <c r="D15" s="11">
        <v>613242</v>
      </c>
      <c r="E15" s="11" t="s">
        <v>134</v>
      </c>
      <c r="F15" s="2" t="s">
        <v>130</v>
      </c>
      <c r="G15" s="2" t="s">
        <v>12</v>
      </c>
      <c r="H15" s="21">
        <v>2</v>
      </c>
      <c r="I15" s="3">
        <v>129</v>
      </c>
      <c r="J15" s="3">
        <f t="shared" si="0"/>
        <v>258</v>
      </c>
      <c r="K15" s="2"/>
      <c r="O15" s="11"/>
    </row>
    <row r="16" spans="1:15">
      <c r="A16" s="11"/>
      <c r="B16" s="2" t="s">
        <v>68</v>
      </c>
      <c r="C16" s="10" t="s">
        <v>127</v>
      </c>
      <c r="D16" s="11">
        <v>613242</v>
      </c>
      <c r="E16" s="11" t="s">
        <v>134</v>
      </c>
      <c r="F16" s="2" t="s">
        <v>131</v>
      </c>
      <c r="G16" s="2" t="s">
        <v>12</v>
      </c>
      <c r="H16" s="21">
        <v>125</v>
      </c>
      <c r="I16" s="3">
        <v>1.5</v>
      </c>
      <c r="J16" s="3">
        <f t="shared" si="0"/>
        <v>187.5</v>
      </c>
      <c r="K16" s="2"/>
    </row>
    <row r="17" spans="1:11">
      <c r="A17" s="11"/>
      <c r="B17" s="2" t="s">
        <v>68</v>
      </c>
      <c r="C17" s="10" t="s">
        <v>127</v>
      </c>
      <c r="D17" s="11">
        <v>613242</v>
      </c>
      <c r="E17" s="11" t="s">
        <v>134</v>
      </c>
      <c r="F17" s="2" t="s">
        <v>132</v>
      </c>
      <c r="G17" s="2" t="s">
        <v>12</v>
      </c>
      <c r="H17" s="21">
        <v>40</v>
      </c>
      <c r="I17" s="3">
        <v>2</v>
      </c>
      <c r="J17" s="3">
        <f t="shared" si="0"/>
        <v>80</v>
      </c>
      <c r="K17" s="2"/>
    </row>
    <row r="18" spans="1:11">
      <c r="A18" s="11"/>
      <c r="B18" s="2" t="s">
        <v>68</v>
      </c>
      <c r="C18" s="10" t="s">
        <v>127</v>
      </c>
      <c r="D18" s="11">
        <v>611021</v>
      </c>
      <c r="E18" s="11">
        <v>1113</v>
      </c>
      <c r="F18" s="2" t="s">
        <v>133</v>
      </c>
      <c r="G18" s="2" t="s">
        <v>12</v>
      </c>
      <c r="H18" s="21">
        <v>3</v>
      </c>
      <c r="I18" s="3">
        <v>87</v>
      </c>
      <c r="J18" s="3">
        <f t="shared" si="0"/>
        <v>261</v>
      </c>
      <c r="K18" s="2"/>
    </row>
    <row r="19" spans="1:11">
      <c r="A19" s="11"/>
      <c r="B19" s="2" t="s">
        <v>68</v>
      </c>
      <c r="C19" s="10" t="s">
        <v>127</v>
      </c>
      <c r="D19" s="11">
        <v>613242</v>
      </c>
      <c r="E19" s="11" t="s">
        <v>134</v>
      </c>
      <c r="F19" s="2" t="s">
        <v>45</v>
      </c>
      <c r="G19" s="2" t="s">
        <v>12</v>
      </c>
      <c r="H19" s="21">
        <v>1</v>
      </c>
      <c r="I19" s="3">
        <v>135</v>
      </c>
      <c r="J19" s="3">
        <f t="shared" si="0"/>
        <v>135</v>
      </c>
      <c r="K19" s="2"/>
    </row>
    <row r="20" spans="1:11">
      <c r="A20" s="11"/>
      <c r="B20" s="2" t="s">
        <v>68</v>
      </c>
      <c r="C20" s="10" t="s">
        <v>127</v>
      </c>
      <c r="D20" s="11">
        <v>611021</v>
      </c>
      <c r="E20" s="11">
        <v>1113</v>
      </c>
      <c r="F20" s="2" t="s">
        <v>135</v>
      </c>
      <c r="G20" s="2" t="s">
        <v>12</v>
      </c>
      <c r="H20" s="21">
        <v>7</v>
      </c>
      <c r="I20" s="3">
        <v>2430</v>
      </c>
      <c r="J20" s="3">
        <f t="shared" si="0"/>
        <v>17010</v>
      </c>
      <c r="K20" s="2"/>
    </row>
    <row r="21" spans="1:11">
      <c r="A21" s="11"/>
      <c r="B21" s="2" t="s">
        <v>68</v>
      </c>
      <c r="C21" s="10" t="s">
        <v>127</v>
      </c>
      <c r="D21" s="11">
        <v>611021</v>
      </c>
      <c r="E21" s="11">
        <v>1113</v>
      </c>
      <c r="F21" s="2" t="s">
        <v>136</v>
      </c>
      <c r="G21" s="2" t="s">
        <v>12</v>
      </c>
      <c r="H21" s="21">
        <v>2</v>
      </c>
      <c r="I21" s="3">
        <v>3229.2</v>
      </c>
      <c r="J21" s="3">
        <f t="shared" si="0"/>
        <v>6458.4</v>
      </c>
      <c r="K21" s="2"/>
    </row>
    <row r="22" spans="1:11">
      <c r="A22" s="11"/>
      <c r="B22" s="2" t="s">
        <v>68</v>
      </c>
      <c r="C22" s="10" t="s">
        <v>137</v>
      </c>
      <c r="D22" s="11">
        <v>611021</v>
      </c>
      <c r="E22" s="11">
        <v>1113</v>
      </c>
      <c r="F22" s="2" t="s">
        <v>138</v>
      </c>
      <c r="G22" s="2" t="s">
        <v>12</v>
      </c>
      <c r="H22" s="21">
        <v>20</v>
      </c>
      <c r="I22" s="3">
        <v>80</v>
      </c>
      <c r="J22" s="3">
        <f t="shared" si="0"/>
        <v>1600</v>
      </c>
      <c r="K22" s="2"/>
    </row>
    <row r="23" spans="1:11">
      <c r="A23" s="11"/>
      <c r="B23" s="2" t="s">
        <v>68</v>
      </c>
      <c r="C23" s="10" t="s">
        <v>137</v>
      </c>
      <c r="D23" s="11">
        <v>611021</v>
      </c>
      <c r="E23" s="11">
        <v>1113</v>
      </c>
      <c r="F23" s="2" t="s">
        <v>139</v>
      </c>
      <c r="G23" s="2" t="s">
        <v>12</v>
      </c>
      <c r="H23" s="21">
        <v>10</v>
      </c>
      <c r="I23" s="3">
        <v>334</v>
      </c>
      <c r="J23" s="3">
        <f t="shared" si="0"/>
        <v>3340</v>
      </c>
      <c r="K23" s="2"/>
    </row>
    <row r="24" spans="1:11">
      <c r="A24" s="11"/>
      <c r="B24" s="2" t="s">
        <v>68</v>
      </c>
      <c r="C24" s="10" t="s">
        <v>137</v>
      </c>
      <c r="D24" s="11">
        <v>611021</v>
      </c>
      <c r="E24" s="11">
        <v>1113</v>
      </c>
      <c r="F24" s="2" t="s">
        <v>140</v>
      </c>
      <c r="G24" s="2" t="s">
        <v>12</v>
      </c>
      <c r="H24" s="21">
        <v>2</v>
      </c>
      <c r="I24" s="3">
        <v>558</v>
      </c>
      <c r="J24" s="3">
        <f t="shared" si="0"/>
        <v>1116</v>
      </c>
      <c r="K24" s="2"/>
    </row>
    <row r="25" spans="1:11">
      <c r="A25" s="11"/>
      <c r="B25" s="2" t="s">
        <v>68</v>
      </c>
      <c r="C25" s="10" t="s">
        <v>137</v>
      </c>
      <c r="D25" s="11">
        <v>611021</v>
      </c>
      <c r="E25" s="11">
        <v>1113</v>
      </c>
      <c r="F25" s="2" t="s">
        <v>141</v>
      </c>
      <c r="G25" s="2" t="s">
        <v>12</v>
      </c>
      <c r="H25" s="21">
        <v>10</v>
      </c>
      <c r="I25" s="3">
        <v>200</v>
      </c>
      <c r="J25" s="3">
        <f t="shared" si="0"/>
        <v>2000</v>
      </c>
      <c r="K25" s="2"/>
    </row>
    <row r="26" spans="1:11">
      <c r="A26" s="11"/>
      <c r="B26" s="2" t="s">
        <v>68</v>
      </c>
      <c r="C26" s="10" t="s">
        <v>72</v>
      </c>
      <c r="D26" s="11">
        <v>613230</v>
      </c>
      <c r="E26" s="11" t="s">
        <v>11</v>
      </c>
      <c r="F26" s="2" t="s">
        <v>142</v>
      </c>
      <c r="G26" s="2" t="s">
        <v>12</v>
      </c>
      <c r="H26" s="21">
        <v>500</v>
      </c>
      <c r="I26" s="3">
        <v>2</v>
      </c>
      <c r="J26" s="3">
        <f t="shared" si="0"/>
        <v>1000</v>
      </c>
      <c r="K26" s="2"/>
    </row>
    <row r="27" spans="1:11">
      <c r="A27" s="11"/>
      <c r="B27" s="2" t="s">
        <v>68</v>
      </c>
      <c r="C27" s="10" t="s">
        <v>72</v>
      </c>
      <c r="D27" s="11">
        <v>613230</v>
      </c>
      <c r="E27" s="11" t="s">
        <v>11</v>
      </c>
      <c r="F27" s="2" t="s">
        <v>143</v>
      </c>
      <c r="G27" s="2" t="s">
        <v>12</v>
      </c>
      <c r="H27" s="21">
        <v>200</v>
      </c>
      <c r="I27" s="3">
        <v>8</v>
      </c>
      <c r="J27" s="3">
        <f t="shared" si="0"/>
        <v>1600</v>
      </c>
      <c r="K27" s="2"/>
    </row>
    <row r="28" spans="1:11">
      <c r="A28" s="11"/>
      <c r="B28" s="2" t="s">
        <v>68</v>
      </c>
      <c r="C28" s="10" t="s">
        <v>72</v>
      </c>
      <c r="D28" s="11">
        <v>613230</v>
      </c>
      <c r="E28" s="11" t="s">
        <v>11</v>
      </c>
      <c r="F28" s="2" t="s">
        <v>20</v>
      </c>
      <c r="G28" s="2" t="s">
        <v>12</v>
      </c>
      <c r="H28" s="21">
        <v>5</v>
      </c>
      <c r="I28" s="3">
        <v>18</v>
      </c>
      <c r="J28" s="3">
        <f t="shared" si="0"/>
        <v>90</v>
      </c>
      <c r="K28" s="2"/>
    </row>
    <row r="29" spans="1:11">
      <c r="A29" s="11"/>
      <c r="B29" s="2" t="s">
        <v>68</v>
      </c>
      <c r="C29" s="10" t="s">
        <v>144</v>
      </c>
      <c r="D29" s="11">
        <v>611021</v>
      </c>
      <c r="E29" s="11">
        <v>1514</v>
      </c>
      <c r="F29" s="2" t="s">
        <v>145</v>
      </c>
      <c r="G29" s="2" t="s">
        <v>146</v>
      </c>
      <c r="H29" s="21" t="s">
        <v>147</v>
      </c>
      <c r="I29" s="3">
        <v>31.76</v>
      </c>
      <c r="J29" s="3">
        <f>1082.18+2670.18</f>
        <v>3752.3599999999997</v>
      </c>
      <c r="K29" s="2"/>
    </row>
    <row r="30" spans="1:11" ht="30">
      <c r="A30" s="11"/>
      <c r="B30" s="2" t="s">
        <v>68</v>
      </c>
      <c r="C30" s="10" t="s">
        <v>166</v>
      </c>
      <c r="D30" s="11">
        <v>617520</v>
      </c>
      <c r="E30" s="11">
        <v>1113</v>
      </c>
      <c r="F30" s="2" t="s">
        <v>167</v>
      </c>
      <c r="G30" s="2" t="s">
        <v>12</v>
      </c>
      <c r="H30" s="21">
        <v>2</v>
      </c>
      <c r="I30" s="3">
        <v>9192.75</v>
      </c>
      <c r="J30" s="3">
        <f>H30*I30</f>
        <v>18385.5</v>
      </c>
      <c r="K30" s="2"/>
    </row>
    <row r="31" spans="1:11">
      <c r="A31" s="12"/>
      <c r="B31" s="4"/>
      <c r="C31" s="17"/>
      <c r="D31" s="12"/>
      <c r="E31" s="12"/>
      <c r="F31" s="4" t="s">
        <v>14</v>
      </c>
      <c r="G31" s="4"/>
      <c r="H31" s="22"/>
      <c r="I31" s="5"/>
      <c r="J31" s="5">
        <f>SUM(J3:J30)</f>
        <v>102227.14</v>
      </c>
      <c r="K31" s="5"/>
    </row>
    <row r="32" spans="1:11">
      <c r="A32" s="19"/>
      <c r="B32" s="8" t="s">
        <v>78</v>
      </c>
      <c r="C32" s="10"/>
      <c r="D32" s="11"/>
      <c r="E32" s="11"/>
      <c r="F32" s="2"/>
      <c r="G32" s="2" t="s">
        <v>12</v>
      </c>
      <c r="H32" s="21">
        <v>1</v>
      </c>
      <c r="I32" s="3"/>
      <c r="J32" s="3">
        <f>H32*I32</f>
        <v>0</v>
      </c>
      <c r="K32" s="8"/>
    </row>
    <row r="33" spans="1:11">
      <c r="A33" s="12"/>
      <c r="B33" s="4"/>
      <c r="C33" s="17"/>
      <c r="D33" s="12"/>
      <c r="E33" s="12"/>
      <c r="F33" s="4" t="s">
        <v>14</v>
      </c>
      <c r="G33" s="4"/>
      <c r="H33" s="22"/>
      <c r="I33" s="5"/>
      <c r="J33" s="5">
        <f>SUM(J32)</f>
        <v>0</v>
      </c>
      <c r="K33" s="4"/>
    </row>
    <row r="34" spans="1:11">
      <c r="A34" s="11">
        <v>2</v>
      </c>
      <c r="B34" s="2" t="s">
        <v>31</v>
      </c>
      <c r="C34" s="10" t="s">
        <v>115</v>
      </c>
      <c r="D34" s="11">
        <v>613242</v>
      </c>
      <c r="E34" s="11" t="s">
        <v>125</v>
      </c>
      <c r="F34" s="2" t="s">
        <v>126</v>
      </c>
      <c r="G34" s="2" t="s">
        <v>12</v>
      </c>
      <c r="H34" s="21">
        <f>158+158</f>
        <v>316</v>
      </c>
      <c r="I34" s="3">
        <f>33.25</f>
        <v>33.25</v>
      </c>
      <c r="J34" s="3">
        <f>H34*I34</f>
        <v>10507</v>
      </c>
      <c r="K34" s="3"/>
    </row>
    <row r="35" spans="1:11">
      <c r="A35" s="11"/>
      <c r="B35" s="2" t="s">
        <v>31</v>
      </c>
      <c r="C35" s="10" t="s">
        <v>127</v>
      </c>
      <c r="D35" s="11">
        <v>611021</v>
      </c>
      <c r="E35" s="11">
        <v>1113</v>
      </c>
      <c r="F35" s="2" t="s">
        <v>135</v>
      </c>
      <c r="G35" s="2" t="s">
        <v>12</v>
      </c>
      <c r="H35" s="21">
        <v>7</v>
      </c>
      <c r="I35" s="3">
        <f>2259</f>
        <v>2259</v>
      </c>
      <c r="J35" s="3">
        <f t="shared" ref="J35:J44" si="1">H35*I35</f>
        <v>15813</v>
      </c>
      <c r="K35" s="3"/>
    </row>
    <row r="36" spans="1:11">
      <c r="A36" s="11"/>
      <c r="B36" s="2" t="s">
        <v>31</v>
      </c>
      <c r="C36" s="10" t="s">
        <v>127</v>
      </c>
      <c r="D36" s="11">
        <v>613242</v>
      </c>
      <c r="E36" s="11" t="s">
        <v>134</v>
      </c>
      <c r="F36" s="2" t="s">
        <v>128</v>
      </c>
      <c r="G36" s="2" t="s">
        <v>12</v>
      </c>
      <c r="H36" s="21">
        <v>58</v>
      </c>
      <c r="I36" s="3">
        <v>34.75</v>
      </c>
      <c r="J36" s="3">
        <f t="shared" si="1"/>
        <v>2015.5</v>
      </c>
      <c r="K36" s="3"/>
    </row>
    <row r="37" spans="1:11">
      <c r="A37" s="11"/>
      <c r="B37" s="2" t="s">
        <v>31</v>
      </c>
      <c r="C37" s="10" t="s">
        <v>127</v>
      </c>
      <c r="D37" s="11">
        <v>613242</v>
      </c>
      <c r="E37" s="11" t="s">
        <v>134</v>
      </c>
      <c r="F37" s="2" t="s">
        <v>130</v>
      </c>
      <c r="G37" s="2" t="s">
        <v>12</v>
      </c>
      <c r="H37" s="21">
        <v>1</v>
      </c>
      <c r="I37" s="3">
        <v>75</v>
      </c>
      <c r="J37" s="3">
        <f t="shared" si="1"/>
        <v>75</v>
      </c>
      <c r="K37" s="3"/>
    </row>
    <row r="38" spans="1:11">
      <c r="A38" s="11"/>
      <c r="B38" s="2" t="s">
        <v>31</v>
      </c>
      <c r="C38" s="10" t="s">
        <v>127</v>
      </c>
      <c r="D38" s="11">
        <v>613242</v>
      </c>
      <c r="E38" s="11" t="s">
        <v>134</v>
      </c>
      <c r="F38" s="2" t="s">
        <v>131</v>
      </c>
      <c r="G38" s="2" t="s">
        <v>12</v>
      </c>
      <c r="H38" s="21">
        <v>120</v>
      </c>
      <c r="I38" s="3">
        <v>0.55000000000000004</v>
      </c>
      <c r="J38" s="3">
        <f t="shared" si="1"/>
        <v>66</v>
      </c>
      <c r="K38" s="3"/>
    </row>
    <row r="39" spans="1:11">
      <c r="A39" s="11"/>
      <c r="B39" s="2" t="s">
        <v>31</v>
      </c>
      <c r="C39" s="10" t="s">
        <v>127</v>
      </c>
      <c r="D39" s="11">
        <v>613242</v>
      </c>
      <c r="E39" s="11" t="s">
        <v>134</v>
      </c>
      <c r="F39" s="2" t="s">
        <v>132</v>
      </c>
      <c r="G39" s="2" t="s">
        <v>12</v>
      </c>
      <c r="H39" s="21">
        <v>40</v>
      </c>
      <c r="I39" s="3">
        <v>1.28</v>
      </c>
      <c r="J39" s="3">
        <f t="shared" si="1"/>
        <v>51.2</v>
      </c>
      <c r="K39" s="3"/>
    </row>
    <row r="40" spans="1:11">
      <c r="A40" s="11"/>
      <c r="B40" s="2" t="s">
        <v>31</v>
      </c>
      <c r="C40" s="10" t="s">
        <v>127</v>
      </c>
      <c r="D40" s="11">
        <v>611021</v>
      </c>
      <c r="E40" s="11">
        <v>1113</v>
      </c>
      <c r="F40" s="2" t="s">
        <v>133</v>
      </c>
      <c r="G40" s="2" t="s">
        <v>12</v>
      </c>
      <c r="H40" s="21">
        <v>2</v>
      </c>
      <c r="I40" s="3">
        <v>140</v>
      </c>
      <c r="J40" s="3">
        <f t="shared" si="1"/>
        <v>280</v>
      </c>
      <c r="K40" s="3"/>
    </row>
    <row r="41" spans="1:11">
      <c r="A41" s="11"/>
      <c r="B41" s="2" t="s">
        <v>31</v>
      </c>
      <c r="C41" s="10" t="s">
        <v>137</v>
      </c>
      <c r="D41" s="11">
        <v>611021</v>
      </c>
      <c r="E41" s="11">
        <v>1113</v>
      </c>
      <c r="F41" s="2" t="s">
        <v>138</v>
      </c>
      <c r="G41" s="2" t="s">
        <v>12</v>
      </c>
      <c r="H41" s="21">
        <v>20</v>
      </c>
      <c r="I41" s="3">
        <v>135</v>
      </c>
      <c r="J41" s="3">
        <f t="shared" si="1"/>
        <v>2700</v>
      </c>
      <c r="K41" s="3"/>
    </row>
    <row r="42" spans="1:11">
      <c r="A42" s="11"/>
      <c r="B42" s="2" t="s">
        <v>31</v>
      </c>
      <c r="C42" s="10" t="s">
        <v>137</v>
      </c>
      <c r="D42" s="11">
        <v>611021</v>
      </c>
      <c r="E42" s="11">
        <v>1113</v>
      </c>
      <c r="F42" s="2" t="s">
        <v>139</v>
      </c>
      <c r="G42" s="2" t="s">
        <v>12</v>
      </c>
      <c r="H42" s="21">
        <v>10</v>
      </c>
      <c r="I42" s="3">
        <v>3255</v>
      </c>
      <c r="J42" s="3">
        <f t="shared" si="1"/>
        <v>32550</v>
      </c>
      <c r="K42" s="3"/>
    </row>
    <row r="43" spans="1:11">
      <c r="A43" s="11"/>
      <c r="B43" s="2" t="s">
        <v>31</v>
      </c>
      <c r="C43" s="10" t="s">
        <v>137</v>
      </c>
      <c r="D43" s="11">
        <v>611021</v>
      </c>
      <c r="E43" s="11">
        <v>1113</v>
      </c>
      <c r="F43" s="2" t="s">
        <v>140</v>
      </c>
      <c r="G43" s="2" t="s">
        <v>12</v>
      </c>
      <c r="H43" s="21">
        <v>2</v>
      </c>
      <c r="I43" s="3">
        <v>1199</v>
      </c>
      <c r="J43" s="3">
        <f t="shared" si="1"/>
        <v>2398</v>
      </c>
      <c r="K43" s="3"/>
    </row>
    <row r="44" spans="1:11">
      <c r="A44" s="11"/>
      <c r="B44" s="2" t="s">
        <v>31</v>
      </c>
      <c r="C44" s="10" t="s">
        <v>137</v>
      </c>
      <c r="D44" s="11">
        <v>611021</v>
      </c>
      <c r="E44" s="11">
        <v>1113</v>
      </c>
      <c r="F44" s="2" t="s">
        <v>141</v>
      </c>
      <c r="G44" s="2" t="s">
        <v>12</v>
      </c>
      <c r="H44" s="21">
        <v>10</v>
      </c>
      <c r="I44" s="3">
        <v>279.3</v>
      </c>
      <c r="J44" s="3">
        <f t="shared" si="1"/>
        <v>2793</v>
      </c>
      <c r="K44" s="3"/>
    </row>
    <row r="45" spans="1:11">
      <c r="A45" s="11"/>
      <c r="B45" s="2" t="s">
        <v>31</v>
      </c>
      <c r="C45" s="10" t="s">
        <v>144</v>
      </c>
      <c r="D45" s="11">
        <v>611021</v>
      </c>
      <c r="E45" s="11">
        <v>1514</v>
      </c>
      <c r="F45" s="2" t="s">
        <v>148</v>
      </c>
      <c r="G45" s="2" t="s">
        <v>146</v>
      </c>
      <c r="H45" s="21" t="s">
        <v>149</v>
      </c>
      <c r="I45" s="3">
        <v>42.12</v>
      </c>
      <c r="J45" s="3">
        <f>673.92+2611.69</f>
        <v>3285.61</v>
      </c>
      <c r="K45" s="3"/>
    </row>
    <row r="46" spans="1:11">
      <c r="A46" s="11"/>
      <c r="B46" s="2" t="s">
        <v>31</v>
      </c>
      <c r="C46" s="10" t="s">
        <v>150</v>
      </c>
      <c r="D46" s="11">
        <v>611021</v>
      </c>
      <c r="E46" s="11">
        <v>1514</v>
      </c>
      <c r="F46" s="2" t="s">
        <v>148</v>
      </c>
      <c r="G46" s="2" t="s">
        <v>146</v>
      </c>
      <c r="H46" s="21" t="s">
        <v>151</v>
      </c>
      <c r="I46" s="3">
        <v>42.12</v>
      </c>
      <c r="J46" s="3">
        <v>1280.45</v>
      </c>
      <c r="K46" s="3"/>
    </row>
    <row r="47" spans="1:11" ht="30">
      <c r="A47" s="11"/>
      <c r="B47" s="2" t="s">
        <v>31</v>
      </c>
      <c r="C47" s="10" t="s">
        <v>166</v>
      </c>
      <c r="D47" s="11">
        <v>617520</v>
      </c>
      <c r="E47" s="11">
        <v>1113</v>
      </c>
      <c r="F47" s="2" t="s">
        <v>167</v>
      </c>
      <c r="G47" s="2" t="s">
        <v>12</v>
      </c>
      <c r="H47" s="21">
        <v>2</v>
      </c>
      <c r="I47" s="3">
        <v>9192.75</v>
      </c>
      <c r="J47" s="3">
        <f>H47*I47</f>
        <v>18385.5</v>
      </c>
      <c r="K47" s="3"/>
    </row>
    <row r="48" spans="1:11">
      <c r="A48" s="12"/>
      <c r="B48" s="4"/>
      <c r="C48" s="17"/>
      <c r="D48" s="12"/>
      <c r="E48" s="12"/>
      <c r="F48" s="4" t="s">
        <v>14</v>
      </c>
      <c r="G48" s="4"/>
      <c r="H48" s="22"/>
      <c r="I48" s="5"/>
      <c r="J48" s="5">
        <f>SUM(J34:J47)</f>
        <v>92200.26</v>
      </c>
      <c r="K48" s="4"/>
    </row>
    <row r="49" spans="1:11">
      <c r="A49" s="11">
        <v>3</v>
      </c>
      <c r="B49" s="2" t="s">
        <v>104</v>
      </c>
      <c r="C49" s="10" t="s">
        <v>137</v>
      </c>
      <c r="D49" s="11">
        <v>611021</v>
      </c>
      <c r="E49" s="11">
        <v>1113</v>
      </c>
      <c r="F49" s="2" t="s">
        <v>138</v>
      </c>
      <c r="G49" s="2" t="s">
        <v>12</v>
      </c>
      <c r="H49" s="21">
        <v>20</v>
      </c>
      <c r="I49" s="3">
        <v>88</v>
      </c>
      <c r="J49" s="3">
        <f>H49*I49</f>
        <v>1760</v>
      </c>
      <c r="K49" s="3"/>
    </row>
    <row r="50" spans="1:11">
      <c r="A50" s="11"/>
      <c r="B50" s="2" t="s">
        <v>104</v>
      </c>
      <c r="C50" s="10" t="s">
        <v>137</v>
      </c>
      <c r="D50" s="11">
        <v>611021</v>
      </c>
      <c r="E50" s="11">
        <v>1113</v>
      </c>
      <c r="F50" s="2" t="s">
        <v>139</v>
      </c>
      <c r="G50" s="2" t="s">
        <v>12</v>
      </c>
      <c r="H50" s="21">
        <v>10</v>
      </c>
      <c r="I50" s="3">
        <v>1150</v>
      </c>
      <c r="J50" s="3">
        <f t="shared" ref="J50:J51" si="2">H50*I50</f>
        <v>11500</v>
      </c>
      <c r="K50" s="3"/>
    </row>
    <row r="51" spans="1:11">
      <c r="A51" s="11"/>
      <c r="B51" s="2" t="s">
        <v>104</v>
      </c>
      <c r="C51" s="10" t="s">
        <v>137</v>
      </c>
      <c r="D51" s="11">
        <v>611021</v>
      </c>
      <c r="E51" s="11">
        <v>1113</v>
      </c>
      <c r="F51" s="2" t="s">
        <v>141</v>
      </c>
      <c r="G51" s="2" t="s">
        <v>12</v>
      </c>
      <c r="H51" s="21">
        <v>10</v>
      </c>
      <c r="I51" s="3">
        <v>140</v>
      </c>
      <c r="J51" s="3">
        <f t="shared" si="2"/>
        <v>1400</v>
      </c>
      <c r="K51" s="3"/>
    </row>
    <row r="52" spans="1:11">
      <c r="A52" s="11"/>
      <c r="B52" s="2" t="s">
        <v>104</v>
      </c>
      <c r="C52" s="10" t="s">
        <v>115</v>
      </c>
      <c r="D52" s="11">
        <v>613242</v>
      </c>
      <c r="E52" s="11" t="s">
        <v>125</v>
      </c>
      <c r="F52" s="2" t="s">
        <v>126</v>
      </c>
      <c r="G52" s="2" t="s">
        <v>12</v>
      </c>
      <c r="H52" s="21">
        <v>158</v>
      </c>
      <c r="I52" s="3">
        <f>33.25</f>
        <v>33.25</v>
      </c>
      <c r="J52" s="3">
        <f>H52*I52</f>
        <v>5253.5</v>
      </c>
      <c r="K52" s="3"/>
    </row>
    <row r="53" spans="1:11">
      <c r="A53" s="11"/>
      <c r="B53" s="2" t="s">
        <v>104</v>
      </c>
      <c r="C53" s="10"/>
      <c r="D53" s="11"/>
      <c r="E53" s="11"/>
      <c r="F53" s="2"/>
      <c r="G53" s="2" t="s">
        <v>12</v>
      </c>
      <c r="H53" s="21"/>
      <c r="I53" s="3"/>
      <c r="J53" s="3">
        <f>H53*I53</f>
        <v>0</v>
      </c>
      <c r="K53" s="3"/>
    </row>
    <row r="54" spans="1:11">
      <c r="A54" s="12"/>
      <c r="B54" s="4"/>
      <c r="C54" s="17"/>
      <c r="D54" s="12"/>
      <c r="E54" s="12"/>
      <c r="F54" s="4" t="s">
        <v>14</v>
      </c>
      <c r="G54" s="4"/>
      <c r="H54" s="22"/>
      <c r="I54" s="5"/>
      <c r="J54" s="5">
        <f>SUM(J49:J53)</f>
        <v>19913.5</v>
      </c>
      <c r="K54" s="4"/>
    </row>
    <row r="55" spans="1:11">
      <c r="A55" s="19"/>
      <c r="B55" s="8" t="s">
        <v>35</v>
      </c>
      <c r="C55" s="10"/>
      <c r="D55" s="11"/>
      <c r="E55" s="11"/>
      <c r="F55" s="2"/>
      <c r="G55" s="2"/>
      <c r="H55" s="21"/>
      <c r="I55" s="3"/>
      <c r="J55" s="3">
        <f>H55*I55</f>
        <v>0</v>
      </c>
      <c r="K55" s="9"/>
    </row>
    <row r="56" spans="1:11">
      <c r="A56" s="12"/>
      <c r="B56" s="4"/>
      <c r="C56" s="17"/>
      <c r="D56" s="12"/>
      <c r="E56" s="12"/>
      <c r="F56" s="4" t="s">
        <v>14</v>
      </c>
      <c r="G56" s="4"/>
      <c r="H56" s="22"/>
      <c r="I56" s="5"/>
      <c r="J56" s="5">
        <f>SUM(J55)</f>
        <v>0</v>
      </c>
      <c r="K56" s="4"/>
    </row>
    <row r="57" spans="1:11" ht="30">
      <c r="A57" s="19"/>
      <c r="B57" s="8" t="s">
        <v>36</v>
      </c>
      <c r="C57" s="10" t="s">
        <v>166</v>
      </c>
      <c r="D57" s="11">
        <v>617520</v>
      </c>
      <c r="E57" s="11">
        <v>1113</v>
      </c>
      <c r="F57" s="2" t="s">
        <v>167</v>
      </c>
      <c r="G57" s="2" t="s">
        <v>12</v>
      </c>
      <c r="H57" s="21">
        <v>9</v>
      </c>
      <c r="I57" s="3">
        <v>9192.75</v>
      </c>
      <c r="J57" s="3">
        <f>H57*I57</f>
        <v>82734.75</v>
      </c>
      <c r="K57" s="8"/>
    </row>
    <row r="58" spans="1:11">
      <c r="A58" s="12"/>
      <c r="B58" s="4"/>
      <c r="C58" s="17"/>
      <c r="D58" s="12"/>
      <c r="E58" s="12"/>
      <c r="F58" s="4" t="s">
        <v>14</v>
      </c>
      <c r="G58" s="4"/>
      <c r="H58" s="22"/>
      <c r="I58" s="5"/>
      <c r="J58" s="5">
        <f>SUM(J57)</f>
        <v>82734.75</v>
      </c>
      <c r="K58" s="4"/>
    </row>
    <row r="59" spans="1:11">
      <c r="A59" s="19">
        <v>4</v>
      </c>
      <c r="B59" s="8" t="s">
        <v>56</v>
      </c>
      <c r="C59" s="10" t="s">
        <v>115</v>
      </c>
      <c r="D59" s="11">
        <v>613242</v>
      </c>
      <c r="E59" s="11" t="s">
        <v>125</v>
      </c>
      <c r="F59" s="2" t="s">
        <v>126</v>
      </c>
      <c r="G59" s="2" t="s">
        <v>12</v>
      </c>
      <c r="H59" s="21">
        <f>158+158</f>
        <v>316</v>
      </c>
      <c r="I59" s="3">
        <f>33.25</f>
        <v>33.25</v>
      </c>
      <c r="J59" s="3">
        <f t="shared" ref="J59:J70" si="3">H59*I59</f>
        <v>10507</v>
      </c>
      <c r="K59" s="8"/>
    </row>
    <row r="60" spans="1:11">
      <c r="A60" s="19"/>
      <c r="B60" s="8" t="s">
        <v>56</v>
      </c>
      <c r="C60" s="10" t="s">
        <v>127</v>
      </c>
      <c r="D60" s="11">
        <v>611021</v>
      </c>
      <c r="E60" s="11">
        <v>1113</v>
      </c>
      <c r="F60" s="2" t="s">
        <v>135</v>
      </c>
      <c r="G60" s="2" t="s">
        <v>12</v>
      </c>
      <c r="H60" s="21">
        <v>7</v>
      </c>
      <c r="I60" s="3">
        <v>2430</v>
      </c>
      <c r="J60" s="3">
        <f t="shared" si="3"/>
        <v>17010</v>
      </c>
      <c r="K60" s="8"/>
    </row>
    <row r="61" spans="1:11">
      <c r="A61" s="19"/>
      <c r="B61" s="8" t="s">
        <v>56</v>
      </c>
      <c r="C61" s="10" t="s">
        <v>127</v>
      </c>
      <c r="D61" s="11">
        <v>611021</v>
      </c>
      <c r="E61" s="11">
        <v>1113</v>
      </c>
      <c r="F61" s="2" t="s">
        <v>136</v>
      </c>
      <c r="G61" s="2" t="s">
        <v>12</v>
      </c>
      <c r="H61" s="21">
        <v>2</v>
      </c>
      <c r="I61" s="3">
        <v>3229.2</v>
      </c>
      <c r="J61" s="3">
        <f t="shared" si="3"/>
        <v>6458.4</v>
      </c>
      <c r="K61" s="8"/>
    </row>
    <row r="62" spans="1:11">
      <c r="A62" s="19"/>
      <c r="B62" s="8" t="s">
        <v>56</v>
      </c>
      <c r="C62" s="10" t="s">
        <v>127</v>
      </c>
      <c r="D62" s="11">
        <v>613242</v>
      </c>
      <c r="E62" s="11" t="s">
        <v>134</v>
      </c>
      <c r="F62" s="2" t="s">
        <v>128</v>
      </c>
      <c r="G62" s="2" t="s">
        <v>12</v>
      </c>
      <c r="H62" s="23">
        <v>58</v>
      </c>
      <c r="I62" s="9">
        <v>7</v>
      </c>
      <c r="J62" s="3">
        <f t="shared" si="3"/>
        <v>406</v>
      </c>
      <c r="K62" s="8"/>
    </row>
    <row r="63" spans="1:11">
      <c r="A63" s="19"/>
      <c r="B63" s="8" t="s">
        <v>56</v>
      </c>
      <c r="C63" s="10" t="s">
        <v>127</v>
      </c>
      <c r="D63" s="11">
        <v>613242</v>
      </c>
      <c r="E63" s="11" t="s">
        <v>134</v>
      </c>
      <c r="F63" s="2" t="s">
        <v>130</v>
      </c>
      <c r="G63" s="2" t="s">
        <v>12</v>
      </c>
      <c r="H63" s="23">
        <v>1</v>
      </c>
      <c r="I63" s="9">
        <v>60</v>
      </c>
      <c r="J63" s="3">
        <f t="shared" si="3"/>
        <v>60</v>
      </c>
      <c r="K63" s="8"/>
    </row>
    <row r="64" spans="1:11">
      <c r="A64" s="19"/>
      <c r="B64" s="8" t="s">
        <v>56</v>
      </c>
      <c r="C64" s="10" t="s">
        <v>127</v>
      </c>
      <c r="D64" s="11">
        <v>613242</v>
      </c>
      <c r="E64" s="11" t="s">
        <v>134</v>
      </c>
      <c r="F64" s="2" t="s">
        <v>131</v>
      </c>
      <c r="G64" s="2" t="s">
        <v>12</v>
      </c>
      <c r="H64" s="23">
        <v>110</v>
      </c>
      <c r="I64" s="9">
        <v>0.5</v>
      </c>
      <c r="J64" s="3">
        <f t="shared" si="3"/>
        <v>55</v>
      </c>
      <c r="K64" s="8"/>
    </row>
    <row r="65" spans="1:11">
      <c r="A65" s="19"/>
      <c r="B65" s="8" t="s">
        <v>56</v>
      </c>
      <c r="C65" s="10" t="s">
        <v>127</v>
      </c>
      <c r="D65" s="11">
        <v>613242</v>
      </c>
      <c r="E65" s="11" t="s">
        <v>134</v>
      </c>
      <c r="F65" s="2" t="s">
        <v>132</v>
      </c>
      <c r="G65" s="2" t="s">
        <v>12</v>
      </c>
      <c r="H65" s="23">
        <v>40</v>
      </c>
      <c r="I65" s="9">
        <v>0.85</v>
      </c>
      <c r="J65" s="3">
        <f t="shared" si="3"/>
        <v>34</v>
      </c>
      <c r="K65" s="8"/>
    </row>
    <row r="66" spans="1:11">
      <c r="A66" s="19"/>
      <c r="B66" s="8" t="s">
        <v>56</v>
      </c>
      <c r="C66" s="10" t="s">
        <v>127</v>
      </c>
      <c r="D66" s="11">
        <v>611021</v>
      </c>
      <c r="E66" s="11">
        <v>1113</v>
      </c>
      <c r="F66" s="2" t="s">
        <v>133</v>
      </c>
      <c r="G66" s="2" t="s">
        <v>12</v>
      </c>
      <c r="H66" s="23">
        <v>2</v>
      </c>
      <c r="I66" s="9">
        <v>79</v>
      </c>
      <c r="J66" s="3">
        <f t="shared" si="3"/>
        <v>158</v>
      </c>
      <c r="K66" s="8"/>
    </row>
    <row r="67" spans="1:11">
      <c r="A67" s="19"/>
      <c r="B67" s="8" t="s">
        <v>56</v>
      </c>
      <c r="C67" s="10" t="s">
        <v>137</v>
      </c>
      <c r="D67" s="11">
        <v>611021</v>
      </c>
      <c r="E67" s="11">
        <v>1113</v>
      </c>
      <c r="F67" s="2" t="s">
        <v>138</v>
      </c>
      <c r="G67" s="2" t="s">
        <v>12</v>
      </c>
      <c r="H67" s="23">
        <v>20</v>
      </c>
      <c r="I67" s="9">
        <v>330</v>
      </c>
      <c r="J67" s="3">
        <f t="shared" si="3"/>
        <v>6600</v>
      </c>
      <c r="K67" s="8"/>
    </row>
    <row r="68" spans="1:11">
      <c r="A68" s="19"/>
      <c r="B68" s="8" t="s">
        <v>56</v>
      </c>
      <c r="C68" s="10" t="s">
        <v>137</v>
      </c>
      <c r="D68" s="11">
        <v>611021</v>
      </c>
      <c r="E68" s="11">
        <v>1113</v>
      </c>
      <c r="F68" s="2" t="s">
        <v>139</v>
      </c>
      <c r="G68" s="2" t="s">
        <v>12</v>
      </c>
      <c r="H68" s="23">
        <v>10</v>
      </c>
      <c r="I68" s="9">
        <v>1000</v>
      </c>
      <c r="J68" s="3">
        <f t="shared" si="3"/>
        <v>10000</v>
      </c>
      <c r="K68" s="8"/>
    </row>
    <row r="69" spans="1:11">
      <c r="A69" s="19"/>
      <c r="B69" s="8" t="s">
        <v>56</v>
      </c>
      <c r="C69" s="10" t="s">
        <v>137</v>
      </c>
      <c r="D69" s="11">
        <v>611021</v>
      </c>
      <c r="E69" s="11">
        <v>1113</v>
      </c>
      <c r="F69" s="2" t="s">
        <v>140</v>
      </c>
      <c r="G69" s="2" t="s">
        <v>12</v>
      </c>
      <c r="H69" s="23">
        <v>2</v>
      </c>
      <c r="I69" s="9">
        <v>230</v>
      </c>
      <c r="J69" s="3">
        <f t="shared" si="3"/>
        <v>460</v>
      </c>
      <c r="K69" s="8"/>
    </row>
    <row r="70" spans="1:11">
      <c r="A70" s="19"/>
      <c r="B70" s="8" t="s">
        <v>56</v>
      </c>
      <c r="C70" s="10" t="s">
        <v>137</v>
      </c>
      <c r="D70" s="11">
        <v>611021</v>
      </c>
      <c r="E70" s="11">
        <v>1113</v>
      </c>
      <c r="F70" s="2" t="s">
        <v>141</v>
      </c>
      <c r="G70" s="2" t="s">
        <v>12</v>
      </c>
      <c r="H70" s="23">
        <v>10</v>
      </c>
      <c r="I70" s="9">
        <v>350</v>
      </c>
      <c r="J70" s="3">
        <f t="shared" si="3"/>
        <v>3500</v>
      </c>
      <c r="K70" s="8"/>
    </row>
    <row r="71" spans="1:11">
      <c r="A71" s="19"/>
      <c r="B71" s="8" t="s">
        <v>56</v>
      </c>
      <c r="C71" s="10" t="s">
        <v>144</v>
      </c>
      <c r="D71" s="11">
        <v>611021</v>
      </c>
      <c r="E71" s="11">
        <v>1514</v>
      </c>
      <c r="F71" s="2" t="s">
        <v>145</v>
      </c>
      <c r="G71" s="2" t="s">
        <v>146</v>
      </c>
      <c r="H71" s="23" t="s">
        <v>152</v>
      </c>
      <c r="I71" s="9"/>
      <c r="J71" s="3">
        <f>1082.18+541.09+2159.68</f>
        <v>3782.95</v>
      </c>
      <c r="K71" s="8"/>
    </row>
    <row r="72" spans="1:11" ht="30">
      <c r="A72" s="19"/>
      <c r="B72" s="8" t="s">
        <v>56</v>
      </c>
      <c r="C72" s="10" t="s">
        <v>166</v>
      </c>
      <c r="D72" s="11">
        <v>617520</v>
      </c>
      <c r="E72" s="11">
        <v>1113</v>
      </c>
      <c r="F72" s="2" t="s">
        <v>167</v>
      </c>
      <c r="G72" s="2" t="s">
        <v>12</v>
      </c>
      <c r="H72" s="21">
        <v>4</v>
      </c>
      <c r="I72" s="3">
        <v>9192.75</v>
      </c>
      <c r="J72" s="3">
        <f>H72*I72</f>
        <v>36771</v>
      </c>
      <c r="K72" s="8"/>
    </row>
    <row r="73" spans="1:11">
      <c r="A73" s="12"/>
      <c r="B73" s="4"/>
      <c r="C73" s="17"/>
      <c r="D73" s="12"/>
      <c r="E73" s="12"/>
      <c r="F73" s="4" t="s">
        <v>14</v>
      </c>
      <c r="G73" s="4"/>
      <c r="H73" s="22"/>
      <c r="I73" s="5"/>
      <c r="J73" s="5">
        <f>SUM(J59:J72)</f>
        <v>95802.35</v>
      </c>
      <c r="K73" s="4"/>
    </row>
    <row r="74" spans="1:11">
      <c r="A74" s="11">
        <v>5</v>
      </c>
      <c r="B74" s="2" t="s">
        <v>37</v>
      </c>
      <c r="C74" s="10" t="s">
        <v>115</v>
      </c>
      <c r="D74" s="11">
        <v>613242</v>
      </c>
      <c r="E74" s="11" t="s">
        <v>125</v>
      </c>
      <c r="F74" s="2" t="s">
        <v>126</v>
      </c>
      <c r="G74" s="2" t="s">
        <v>12</v>
      </c>
      <c r="H74" s="21">
        <f>158+158</f>
        <v>316</v>
      </c>
      <c r="I74" s="3">
        <f>33.25</f>
        <v>33.25</v>
      </c>
      <c r="J74" s="3">
        <f t="shared" ref="J74:J84" si="4">H74*I74</f>
        <v>10507</v>
      </c>
      <c r="K74" s="2"/>
    </row>
    <row r="75" spans="1:11">
      <c r="A75" s="11"/>
      <c r="B75" s="2" t="s">
        <v>37</v>
      </c>
      <c r="C75" s="10" t="s">
        <v>127</v>
      </c>
      <c r="D75" s="11">
        <v>611021</v>
      </c>
      <c r="E75" s="11">
        <v>1113</v>
      </c>
      <c r="F75" s="2" t="s">
        <v>135</v>
      </c>
      <c r="G75" s="2" t="s">
        <v>12</v>
      </c>
      <c r="H75" s="21">
        <v>7</v>
      </c>
      <c r="I75" s="3">
        <v>2430</v>
      </c>
      <c r="J75" s="3">
        <f t="shared" si="4"/>
        <v>17010</v>
      </c>
      <c r="K75" s="2"/>
    </row>
    <row r="76" spans="1:11">
      <c r="A76" s="11"/>
      <c r="B76" s="2" t="s">
        <v>37</v>
      </c>
      <c r="C76" s="10" t="s">
        <v>127</v>
      </c>
      <c r="D76" s="11">
        <v>613242</v>
      </c>
      <c r="E76" s="11" t="s">
        <v>134</v>
      </c>
      <c r="F76" s="2" t="s">
        <v>128</v>
      </c>
      <c r="G76" s="2" t="s">
        <v>12</v>
      </c>
      <c r="H76" s="23">
        <v>58</v>
      </c>
      <c r="I76" s="9">
        <v>7</v>
      </c>
      <c r="J76" s="3">
        <f t="shared" si="4"/>
        <v>406</v>
      </c>
      <c r="K76" s="2"/>
    </row>
    <row r="77" spans="1:11">
      <c r="A77" s="11"/>
      <c r="B77" s="2" t="s">
        <v>37</v>
      </c>
      <c r="C77" s="10" t="s">
        <v>127</v>
      </c>
      <c r="D77" s="11">
        <v>613242</v>
      </c>
      <c r="E77" s="11" t="s">
        <v>134</v>
      </c>
      <c r="F77" s="2" t="s">
        <v>130</v>
      </c>
      <c r="G77" s="2" t="s">
        <v>12</v>
      </c>
      <c r="H77" s="23">
        <v>2</v>
      </c>
      <c r="I77" s="9">
        <v>30</v>
      </c>
      <c r="J77" s="3">
        <f t="shared" si="4"/>
        <v>60</v>
      </c>
      <c r="K77" s="2"/>
    </row>
    <row r="78" spans="1:11">
      <c r="A78" s="11"/>
      <c r="B78" s="2" t="s">
        <v>37</v>
      </c>
      <c r="C78" s="10" t="s">
        <v>127</v>
      </c>
      <c r="D78" s="11">
        <v>613242</v>
      </c>
      <c r="E78" s="11" t="s">
        <v>134</v>
      </c>
      <c r="F78" s="2" t="s">
        <v>131</v>
      </c>
      <c r="G78" s="2" t="s">
        <v>12</v>
      </c>
      <c r="H78" s="23">
        <v>110</v>
      </c>
      <c r="I78" s="9">
        <v>0.5</v>
      </c>
      <c r="J78" s="3">
        <f t="shared" si="4"/>
        <v>55</v>
      </c>
      <c r="K78" s="2"/>
    </row>
    <row r="79" spans="1:11">
      <c r="A79" s="11"/>
      <c r="B79" s="2" t="s">
        <v>37</v>
      </c>
      <c r="C79" s="10" t="s">
        <v>127</v>
      </c>
      <c r="D79" s="11">
        <v>613242</v>
      </c>
      <c r="E79" s="11" t="s">
        <v>134</v>
      </c>
      <c r="F79" s="2" t="s">
        <v>132</v>
      </c>
      <c r="G79" s="2" t="s">
        <v>12</v>
      </c>
      <c r="H79" s="23">
        <v>40</v>
      </c>
      <c r="I79" s="9">
        <v>0.85</v>
      </c>
      <c r="J79" s="3">
        <f t="shared" si="4"/>
        <v>34</v>
      </c>
      <c r="K79" s="2"/>
    </row>
    <row r="80" spans="1:11">
      <c r="A80" s="11"/>
      <c r="B80" s="2" t="s">
        <v>37</v>
      </c>
      <c r="C80" s="10" t="s">
        <v>127</v>
      </c>
      <c r="D80" s="11">
        <v>611021</v>
      </c>
      <c r="E80" s="11">
        <v>1113</v>
      </c>
      <c r="F80" s="2" t="s">
        <v>133</v>
      </c>
      <c r="G80" s="2" t="s">
        <v>12</v>
      </c>
      <c r="H80" s="23">
        <v>2</v>
      </c>
      <c r="I80" s="9">
        <v>79</v>
      </c>
      <c r="J80" s="3">
        <f t="shared" si="4"/>
        <v>158</v>
      </c>
      <c r="K80" s="2"/>
    </row>
    <row r="81" spans="1:11">
      <c r="A81" s="11"/>
      <c r="B81" s="2" t="s">
        <v>37</v>
      </c>
      <c r="C81" s="10" t="s">
        <v>137</v>
      </c>
      <c r="D81" s="11">
        <v>611021</v>
      </c>
      <c r="E81" s="11">
        <v>1113</v>
      </c>
      <c r="F81" s="2" t="s">
        <v>153</v>
      </c>
      <c r="G81" s="2" t="s">
        <v>12</v>
      </c>
      <c r="H81" s="23">
        <v>10</v>
      </c>
      <c r="I81" s="9">
        <v>180</v>
      </c>
      <c r="J81" s="3">
        <f t="shared" si="4"/>
        <v>1800</v>
      </c>
      <c r="K81" s="2"/>
    </row>
    <row r="82" spans="1:11">
      <c r="A82" s="11"/>
      <c r="B82" s="2" t="s">
        <v>37</v>
      </c>
      <c r="C82" s="10" t="s">
        <v>137</v>
      </c>
      <c r="D82" s="11">
        <v>611021</v>
      </c>
      <c r="E82" s="11">
        <v>1113</v>
      </c>
      <c r="F82" s="2" t="s">
        <v>139</v>
      </c>
      <c r="G82" s="2" t="s">
        <v>12</v>
      </c>
      <c r="H82" s="23">
        <v>10</v>
      </c>
      <c r="I82" s="9">
        <v>850</v>
      </c>
      <c r="J82" s="3">
        <f t="shared" si="4"/>
        <v>8500</v>
      </c>
      <c r="K82" s="2"/>
    </row>
    <row r="83" spans="1:11">
      <c r="A83" s="11"/>
      <c r="B83" s="2" t="s">
        <v>37</v>
      </c>
      <c r="C83" s="10" t="s">
        <v>137</v>
      </c>
      <c r="D83" s="11">
        <v>611021</v>
      </c>
      <c r="E83" s="11">
        <v>1113</v>
      </c>
      <c r="F83" s="2" t="s">
        <v>140</v>
      </c>
      <c r="G83" s="2" t="s">
        <v>12</v>
      </c>
      <c r="H83" s="23">
        <v>2</v>
      </c>
      <c r="I83" s="9">
        <v>400</v>
      </c>
      <c r="J83" s="3">
        <f t="shared" si="4"/>
        <v>800</v>
      </c>
      <c r="K83" s="2"/>
    </row>
    <row r="84" spans="1:11">
      <c r="A84" s="11"/>
      <c r="B84" s="2" t="s">
        <v>37</v>
      </c>
      <c r="C84" s="10" t="s">
        <v>137</v>
      </c>
      <c r="D84" s="11">
        <v>611021</v>
      </c>
      <c r="E84" s="11">
        <v>1113</v>
      </c>
      <c r="F84" s="2" t="s">
        <v>141</v>
      </c>
      <c r="G84" s="2" t="s">
        <v>12</v>
      </c>
      <c r="H84" s="23">
        <v>10</v>
      </c>
      <c r="I84" s="9">
        <v>400</v>
      </c>
      <c r="J84" s="3">
        <f t="shared" si="4"/>
        <v>4000</v>
      </c>
      <c r="K84" s="2"/>
    </row>
    <row r="85" spans="1:11">
      <c r="A85" s="11"/>
      <c r="B85" s="2" t="s">
        <v>37</v>
      </c>
      <c r="C85" s="10" t="s">
        <v>144</v>
      </c>
      <c r="D85" s="11">
        <v>611021</v>
      </c>
      <c r="E85" s="11">
        <v>1514</v>
      </c>
      <c r="F85" s="2" t="s">
        <v>148</v>
      </c>
      <c r="G85" s="2" t="s">
        <v>146</v>
      </c>
      <c r="H85" s="23" t="s">
        <v>154</v>
      </c>
      <c r="I85" s="9"/>
      <c r="J85" s="3">
        <v>2611.6999999999998</v>
      </c>
      <c r="K85" s="2"/>
    </row>
    <row r="86" spans="1:11">
      <c r="A86" s="11"/>
      <c r="B86" s="2" t="s">
        <v>37</v>
      </c>
      <c r="C86" s="10" t="s">
        <v>150</v>
      </c>
      <c r="D86" s="11">
        <v>611021</v>
      </c>
      <c r="E86" s="11">
        <v>1514</v>
      </c>
      <c r="F86" s="2" t="s">
        <v>148</v>
      </c>
      <c r="G86" s="2" t="s">
        <v>146</v>
      </c>
      <c r="H86" s="23" t="s">
        <v>151</v>
      </c>
      <c r="I86" s="9"/>
      <c r="J86" s="3">
        <v>1280.45</v>
      </c>
      <c r="K86" s="2"/>
    </row>
    <row r="87" spans="1:11" ht="30">
      <c r="A87" s="11"/>
      <c r="B87" s="2" t="s">
        <v>37</v>
      </c>
      <c r="C87" s="10" t="s">
        <v>166</v>
      </c>
      <c r="D87" s="11">
        <v>617520</v>
      </c>
      <c r="E87" s="11">
        <v>1113</v>
      </c>
      <c r="F87" s="2" t="s">
        <v>167</v>
      </c>
      <c r="G87" s="2" t="s">
        <v>12</v>
      </c>
      <c r="H87" s="21">
        <v>5</v>
      </c>
      <c r="I87" s="3">
        <v>9192.75</v>
      </c>
      <c r="J87" s="3">
        <f>H87*I87</f>
        <v>45963.75</v>
      </c>
      <c r="K87" s="2"/>
    </row>
    <row r="88" spans="1:11">
      <c r="A88" s="12"/>
      <c r="B88" s="4"/>
      <c r="C88" s="17"/>
      <c r="D88" s="12"/>
      <c r="E88" s="12"/>
      <c r="F88" s="4" t="s">
        <v>14</v>
      </c>
      <c r="G88" s="4"/>
      <c r="H88" s="22"/>
      <c r="I88" s="5"/>
      <c r="J88" s="5">
        <f>SUM(J74:J87)</f>
        <v>93185.9</v>
      </c>
      <c r="K88" s="4"/>
    </row>
    <row r="89" spans="1:11" ht="30">
      <c r="A89" s="19"/>
      <c r="B89" s="8" t="s">
        <v>39</v>
      </c>
      <c r="C89" s="10" t="s">
        <v>166</v>
      </c>
      <c r="D89" s="11">
        <v>617520</v>
      </c>
      <c r="E89" s="11">
        <v>1113</v>
      </c>
      <c r="F89" s="2" t="s">
        <v>167</v>
      </c>
      <c r="G89" s="2" t="s">
        <v>12</v>
      </c>
      <c r="H89" s="21">
        <v>1</v>
      </c>
      <c r="I89" s="3">
        <v>9192.75</v>
      </c>
      <c r="J89" s="3">
        <f>H89*I89</f>
        <v>9192.75</v>
      </c>
      <c r="K89" s="8"/>
    </row>
    <row r="90" spans="1:11">
      <c r="A90" s="12"/>
      <c r="B90" s="4"/>
      <c r="C90" s="17"/>
      <c r="D90" s="12"/>
      <c r="E90" s="12"/>
      <c r="F90" s="4" t="s">
        <v>14</v>
      </c>
      <c r="G90" s="4"/>
      <c r="H90" s="22"/>
      <c r="I90" s="5"/>
      <c r="J90" s="5">
        <f>SUM(J89)</f>
        <v>9192.75</v>
      </c>
      <c r="K90" s="4"/>
    </row>
    <row r="91" spans="1:11" ht="30">
      <c r="A91" s="19"/>
      <c r="B91" s="8" t="s">
        <v>42</v>
      </c>
      <c r="C91" s="10" t="s">
        <v>166</v>
      </c>
      <c r="D91" s="11">
        <v>617520</v>
      </c>
      <c r="E91" s="11">
        <v>1113</v>
      </c>
      <c r="F91" s="2" t="s">
        <v>167</v>
      </c>
      <c r="G91" s="2" t="s">
        <v>12</v>
      </c>
      <c r="H91" s="21">
        <v>1</v>
      </c>
      <c r="I91" s="3">
        <v>9192.75</v>
      </c>
      <c r="J91" s="3">
        <f>H91*I91</f>
        <v>9192.75</v>
      </c>
      <c r="K91" s="8"/>
    </row>
    <row r="92" spans="1:11">
      <c r="A92" s="12"/>
      <c r="B92" s="4"/>
      <c r="C92" s="17"/>
      <c r="D92" s="12"/>
      <c r="E92" s="12"/>
      <c r="F92" s="4" t="s">
        <v>14</v>
      </c>
      <c r="G92" s="4"/>
      <c r="H92" s="22"/>
      <c r="I92" s="5"/>
      <c r="J92" s="5">
        <f>SUM(J91)</f>
        <v>9192.75</v>
      </c>
      <c r="K92" s="4"/>
    </row>
    <row r="93" spans="1:11" ht="30">
      <c r="A93" s="19"/>
      <c r="B93" s="8" t="s">
        <v>83</v>
      </c>
      <c r="C93" s="10" t="s">
        <v>166</v>
      </c>
      <c r="D93" s="11">
        <v>617520</v>
      </c>
      <c r="E93" s="11">
        <v>1113</v>
      </c>
      <c r="F93" s="2" t="s">
        <v>167</v>
      </c>
      <c r="G93" s="2" t="s">
        <v>12</v>
      </c>
      <c r="H93" s="21">
        <v>2</v>
      </c>
      <c r="I93" s="3">
        <v>9192.75</v>
      </c>
      <c r="J93" s="3">
        <f>H93*I93</f>
        <v>18385.5</v>
      </c>
      <c r="K93" s="8"/>
    </row>
    <row r="94" spans="1:11">
      <c r="A94" s="12"/>
      <c r="B94" s="4"/>
      <c r="C94" s="17"/>
      <c r="D94" s="12"/>
      <c r="E94" s="12"/>
      <c r="F94" s="4" t="s">
        <v>14</v>
      </c>
      <c r="G94" s="4"/>
      <c r="H94" s="22"/>
      <c r="I94" s="5"/>
      <c r="J94" s="5">
        <f>SUM(J93)</f>
        <v>18385.5</v>
      </c>
      <c r="K94" s="4"/>
    </row>
    <row r="95" spans="1:11">
      <c r="A95" s="11">
        <v>6</v>
      </c>
      <c r="B95" s="2" t="s">
        <v>107</v>
      </c>
      <c r="C95" s="10" t="s">
        <v>115</v>
      </c>
      <c r="D95" s="11">
        <v>613242</v>
      </c>
      <c r="E95" s="11" t="s">
        <v>125</v>
      </c>
      <c r="F95" s="2" t="s">
        <v>126</v>
      </c>
      <c r="G95" s="2" t="s">
        <v>12</v>
      </c>
      <c r="H95" s="21">
        <f>158+158</f>
        <v>316</v>
      </c>
      <c r="I95" s="3">
        <f>33.25</f>
        <v>33.25</v>
      </c>
      <c r="J95" s="3">
        <f>H95*I95</f>
        <v>10507</v>
      </c>
      <c r="K95" s="2"/>
    </row>
    <row r="96" spans="1:11">
      <c r="A96" s="11"/>
      <c r="B96" s="2" t="s">
        <v>107</v>
      </c>
      <c r="C96" s="10" t="s">
        <v>127</v>
      </c>
      <c r="D96" s="11">
        <v>611021</v>
      </c>
      <c r="E96" s="11">
        <v>1113</v>
      </c>
      <c r="F96" s="2" t="s">
        <v>135</v>
      </c>
      <c r="G96" s="2" t="s">
        <v>12</v>
      </c>
      <c r="H96" s="21">
        <v>7</v>
      </c>
      <c r="I96" s="3">
        <v>2430</v>
      </c>
      <c r="J96" s="3">
        <f t="shared" ref="J96:J111" si="5">H96*I96</f>
        <v>17010</v>
      </c>
      <c r="K96" s="2"/>
    </row>
    <row r="97" spans="1:11">
      <c r="A97" s="11"/>
      <c r="B97" s="2" t="s">
        <v>107</v>
      </c>
      <c r="C97" s="10" t="s">
        <v>127</v>
      </c>
      <c r="D97" s="11">
        <v>611021</v>
      </c>
      <c r="E97" s="11">
        <v>1113</v>
      </c>
      <c r="F97" s="2" t="s">
        <v>136</v>
      </c>
      <c r="G97" s="2" t="s">
        <v>12</v>
      </c>
      <c r="H97" s="21">
        <v>2</v>
      </c>
      <c r="I97" s="3">
        <v>3229.2</v>
      </c>
      <c r="J97" s="3">
        <f t="shared" si="5"/>
        <v>6458.4</v>
      </c>
      <c r="K97" s="2"/>
    </row>
    <row r="98" spans="1:11">
      <c r="A98" s="11"/>
      <c r="B98" s="2" t="s">
        <v>107</v>
      </c>
      <c r="C98" s="10" t="s">
        <v>127</v>
      </c>
      <c r="D98" s="11">
        <v>613242</v>
      </c>
      <c r="E98" s="11" t="s">
        <v>134</v>
      </c>
      <c r="F98" s="2" t="s">
        <v>128</v>
      </c>
      <c r="G98" s="2" t="s">
        <v>12</v>
      </c>
      <c r="H98" s="23">
        <v>60</v>
      </c>
      <c r="I98" s="9">
        <v>8.3000000000000007</v>
      </c>
      <c r="J98" s="3">
        <f t="shared" si="5"/>
        <v>498.00000000000006</v>
      </c>
      <c r="K98" s="2"/>
    </row>
    <row r="99" spans="1:11">
      <c r="A99" s="11"/>
      <c r="B99" s="2" t="s">
        <v>107</v>
      </c>
      <c r="C99" s="10" t="s">
        <v>127</v>
      </c>
      <c r="D99" s="11">
        <v>613243</v>
      </c>
      <c r="E99" s="11" t="s">
        <v>134</v>
      </c>
      <c r="F99" s="2" t="s">
        <v>129</v>
      </c>
      <c r="G99" s="2" t="s">
        <v>12</v>
      </c>
      <c r="H99" s="23">
        <v>1</v>
      </c>
      <c r="I99" s="9">
        <v>31.8</v>
      </c>
      <c r="J99" s="3">
        <f t="shared" si="5"/>
        <v>31.8</v>
      </c>
      <c r="K99" s="2"/>
    </row>
    <row r="100" spans="1:11">
      <c r="A100" s="11"/>
      <c r="B100" s="2" t="s">
        <v>107</v>
      </c>
      <c r="C100" s="10" t="s">
        <v>127</v>
      </c>
      <c r="D100" s="11">
        <v>613242</v>
      </c>
      <c r="E100" s="11" t="s">
        <v>134</v>
      </c>
      <c r="F100" s="2" t="s">
        <v>130</v>
      </c>
      <c r="G100" s="2" t="s">
        <v>12</v>
      </c>
      <c r="H100" s="23">
        <v>2</v>
      </c>
      <c r="I100" s="9">
        <v>144.84399999999999</v>
      </c>
      <c r="J100" s="3">
        <f t="shared" si="5"/>
        <v>289.68799999999999</v>
      </c>
      <c r="K100" s="2"/>
    </row>
    <row r="101" spans="1:11">
      <c r="A101" s="11"/>
      <c r="B101" s="2" t="s">
        <v>107</v>
      </c>
      <c r="C101" s="10" t="s">
        <v>127</v>
      </c>
      <c r="D101" s="11">
        <v>613242</v>
      </c>
      <c r="E101" s="11" t="s">
        <v>134</v>
      </c>
      <c r="F101" s="2" t="s">
        <v>131</v>
      </c>
      <c r="G101" s="2" t="s">
        <v>12</v>
      </c>
      <c r="H101" s="23">
        <v>120</v>
      </c>
      <c r="I101" s="9">
        <v>1.72</v>
      </c>
      <c r="J101" s="3">
        <f t="shared" si="5"/>
        <v>206.4</v>
      </c>
      <c r="K101" s="2"/>
    </row>
    <row r="102" spans="1:11">
      <c r="A102" s="11"/>
      <c r="B102" s="2" t="s">
        <v>107</v>
      </c>
      <c r="C102" s="10" t="s">
        <v>127</v>
      </c>
      <c r="D102" s="11">
        <v>613242</v>
      </c>
      <c r="E102" s="11" t="s">
        <v>134</v>
      </c>
      <c r="F102" s="2" t="s">
        <v>132</v>
      </c>
      <c r="G102" s="2" t="s">
        <v>12</v>
      </c>
      <c r="H102" s="23">
        <v>40</v>
      </c>
      <c r="I102" s="9">
        <v>1.2</v>
      </c>
      <c r="J102" s="3">
        <f t="shared" si="5"/>
        <v>48</v>
      </c>
      <c r="K102" s="2"/>
    </row>
    <row r="103" spans="1:11">
      <c r="A103" s="11"/>
      <c r="B103" s="2" t="s">
        <v>107</v>
      </c>
      <c r="C103" s="10" t="s">
        <v>127</v>
      </c>
      <c r="D103" s="11">
        <v>611021</v>
      </c>
      <c r="E103" s="11">
        <v>1113</v>
      </c>
      <c r="F103" s="2" t="s">
        <v>133</v>
      </c>
      <c r="G103" s="2" t="s">
        <v>12</v>
      </c>
      <c r="H103" s="23">
        <v>2</v>
      </c>
      <c r="I103" s="9">
        <v>189</v>
      </c>
      <c r="J103" s="3">
        <f t="shared" si="5"/>
        <v>378</v>
      </c>
      <c r="K103" s="2"/>
    </row>
    <row r="104" spans="1:11">
      <c r="A104" s="11"/>
      <c r="B104" s="2" t="s">
        <v>107</v>
      </c>
      <c r="C104" s="10" t="s">
        <v>127</v>
      </c>
      <c r="D104" s="11">
        <v>611021</v>
      </c>
      <c r="E104" s="11">
        <v>1113</v>
      </c>
      <c r="F104" s="2" t="s">
        <v>45</v>
      </c>
      <c r="G104" s="2" t="s">
        <v>12</v>
      </c>
      <c r="H104" s="23">
        <v>1</v>
      </c>
      <c r="I104" s="9">
        <v>50.5</v>
      </c>
      <c r="J104" s="3">
        <f t="shared" si="5"/>
        <v>50.5</v>
      </c>
      <c r="K104" s="2"/>
    </row>
    <row r="105" spans="1:11">
      <c r="A105" s="11"/>
      <c r="B105" s="2" t="s">
        <v>107</v>
      </c>
      <c r="C105" s="10" t="s">
        <v>137</v>
      </c>
      <c r="D105" s="11">
        <v>611021</v>
      </c>
      <c r="E105" s="11">
        <v>1113</v>
      </c>
      <c r="F105" s="2" t="s">
        <v>153</v>
      </c>
      <c r="G105" s="2" t="s">
        <v>12</v>
      </c>
      <c r="H105" s="23">
        <v>20</v>
      </c>
      <c r="I105" s="9">
        <v>160</v>
      </c>
      <c r="J105" s="3">
        <f t="shared" si="5"/>
        <v>3200</v>
      </c>
      <c r="K105" s="2"/>
    </row>
    <row r="106" spans="1:11">
      <c r="A106" s="11"/>
      <c r="B106" s="2" t="s">
        <v>107</v>
      </c>
      <c r="C106" s="10" t="s">
        <v>137</v>
      </c>
      <c r="D106" s="11">
        <v>611021</v>
      </c>
      <c r="E106" s="11">
        <v>1113</v>
      </c>
      <c r="F106" s="2" t="s">
        <v>139</v>
      </c>
      <c r="G106" s="2" t="s">
        <v>12</v>
      </c>
      <c r="H106" s="23">
        <v>10</v>
      </c>
      <c r="I106" s="9">
        <v>1000</v>
      </c>
      <c r="J106" s="3">
        <f t="shared" si="5"/>
        <v>10000</v>
      </c>
      <c r="K106" s="2"/>
    </row>
    <row r="107" spans="1:11">
      <c r="A107" s="11"/>
      <c r="B107" s="2" t="s">
        <v>107</v>
      </c>
      <c r="C107" s="10" t="s">
        <v>137</v>
      </c>
      <c r="D107" s="11">
        <v>611021</v>
      </c>
      <c r="E107" s="11">
        <v>1113</v>
      </c>
      <c r="F107" s="2" t="s">
        <v>140</v>
      </c>
      <c r="G107" s="2" t="s">
        <v>12</v>
      </c>
      <c r="H107" s="23">
        <v>2</v>
      </c>
      <c r="I107" s="9">
        <v>430</v>
      </c>
      <c r="J107" s="3">
        <f t="shared" si="5"/>
        <v>860</v>
      </c>
      <c r="K107" s="2"/>
    </row>
    <row r="108" spans="1:11">
      <c r="A108" s="11"/>
      <c r="B108" s="2" t="s">
        <v>107</v>
      </c>
      <c r="C108" s="10" t="s">
        <v>137</v>
      </c>
      <c r="D108" s="11">
        <v>611021</v>
      </c>
      <c r="E108" s="11">
        <v>1113</v>
      </c>
      <c r="F108" s="2" t="s">
        <v>141</v>
      </c>
      <c r="G108" s="2" t="s">
        <v>12</v>
      </c>
      <c r="H108" s="23">
        <v>10</v>
      </c>
      <c r="I108" s="9">
        <v>300</v>
      </c>
      <c r="J108" s="3">
        <f t="shared" si="5"/>
        <v>3000</v>
      </c>
      <c r="K108" s="2"/>
    </row>
    <row r="109" spans="1:11">
      <c r="A109" s="11"/>
      <c r="B109" s="2" t="s">
        <v>107</v>
      </c>
      <c r="C109" s="10" t="s">
        <v>137</v>
      </c>
      <c r="D109" s="11">
        <v>611021</v>
      </c>
      <c r="E109" s="11">
        <v>1113</v>
      </c>
      <c r="F109" s="2" t="s">
        <v>155</v>
      </c>
      <c r="G109" s="2" t="s">
        <v>12</v>
      </c>
      <c r="H109" s="23">
        <v>1</v>
      </c>
      <c r="I109" s="9">
        <v>10000</v>
      </c>
      <c r="J109" s="3">
        <f t="shared" si="5"/>
        <v>10000</v>
      </c>
      <c r="K109" s="2"/>
    </row>
    <row r="110" spans="1:11">
      <c r="A110" s="11"/>
      <c r="B110" s="2" t="s">
        <v>107</v>
      </c>
      <c r="C110" s="10" t="s">
        <v>137</v>
      </c>
      <c r="D110" s="11">
        <v>611021</v>
      </c>
      <c r="E110" s="11">
        <v>1113</v>
      </c>
      <c r="F110" s="2" t="s">
        <v>156</v>
      </c>
      <c r="G110" s="2" t="s">
        <v>12</v>
      </c>
      <c r="H110" s="23">
        <v>1</v>
      </c>
      <c r="I110" s="9">
        <v>2000</v>
      </c>
      <c r="J110" s="3">
        <f t="shared" si="5"/>
        <v>2000</v>
      </c>
      <c r="K110" s="2"/>
    </row>
    <row r="111" spans="1:11">
      <c r="A111" s="11"/>
      <c r="B111" s="2" t="s">
        <v>107</v>
      </c>
      <c r="C111" s="10" t="s">
        <v>137</v>
      </c>
      <c r="D111" s="11">
        <v>611021</v>
      </c>
      <c r="E111" s="11">
        <v>1113</v>
      </c>
      <c r="F111" s="2" t="s">
        <v>157</v>
      </c>
      <c r="G111" s="2" t="s">
        <v>12</v>
      </c>
      <c r="H111" s="23">
        <v>1</v>
      </c>
      <c r="I111" s="9">
        <v>4950</v>
      </c>
      <c r="J111" s="3">
        <f t="shared" si="5"/>
        <v>4950</v>
      </c>
      <c r="K111" s="2"/>
    </row>
    <row r="112" spans="1:11">
      <c r="A112" s="11"/>
      <c r="B112" s="2" t="s">
        <v>107</v>
      </c>
      <c r="C112" s="10" t="s">
        <v>144</v>
      </c>
      <c r="D112" s="11">
        <v>613230</v>
      </c>
      <c r="E112" s="11">
        <v>1514</v>
      </c>
      <c r="F112" s="2" t="s">
        <v>145</v>
      </c>
      <c r="G112" s="2" t="s">
        <v>146</v>
      </c>
      <c r="H112" s="23" t="s">
        <v>147</v>
      </c>
      <c r="I112" s="9"/>
      <c r="J112" s="3">
        <f>1082.18+2670.18</f>
        <v>3752.3599999999997</v>
      </c>
      <c r="K112" s="2"/>
    </row>
    <row r="113" spans="1:11" ht="30">
      <c r="A113" s="11"/>
      <c r="B113" s="2" t="s">
        <v>107</v>
      </c>
      <c r="C113" s="10" t="s">
        <v>166</v>
      </c>
      <c r="D113" s="11">
        <v>617520</v>
      </c>
      <c r="E113" s="11">
        <v>1113</v>
      </c>
      <c r="F113" s="2" t="s">
        <v>167</v>
      </c>
      <c r="G113" s="2" t="s">
        <v>12</v>
      </c>
      <c r="H113" s="21">
        <v>2</v>
      </c>
      <c r="I113" s="3">
        <v>9192.75</v>
      </c>
      <c r="J113" s="3">
        <f>H113*I113</f>
        <v>18385.5</v>
      </c>
      <c r="K113" s="2"/>
    </row>
    <row r="114" spans="1:11">
      <c r="A114" s="12"/>
      <c r="B114" s="4"/>
      <c r="C114" s="17"/>
      <c r="D114" s="12"/>
      <c r="E114" s="12"/>
      <c r="F114" s="4" t="s">
        <v>14</v>
      </c>
      <c r="G114" s="4"/>
      <c r="H114" s="22"/>
      <c r="I114" s="5"/>
      <c r="J114" s="5">
        <f>SUM(J95:J113)</f>
        <v>91625.648000000001</v>
      </c>
      <c r="K114" s="4"/>
    </row>
    <row r="115" spans="1:11" ht="30">
      <c r="A115" s="19"/>
      <c r="B115" s="8" t="s">
        <v>46</v>
      </c>
      <c r="C115" s="10" t="s">
        <v>166</v>
      </c>
      <c r="D115" s="11">
        <v>617520</v>
      </c>
      <c r="E115" s="11">
        <v>1113</v>
      </c>
      <c r="F115" s="2" t="s">
        <v>167</v>
      </c>
      <c r="G115" s="2" t="s">
        <v>12</v>
      </c>
      <c r="H115" s="21">
        <v>5</v>
      </c>
      <c r="I115" s="3">
        <v>9192.75</v>
      </c>
      <c r="J115" s="3">
        <f>H115*I115</f>
        <v>45963.75</v>
      </c>
      <c r="K115" s="8"/>
    </row>
    <row r="116" spans="1:11">
      <c r="A116" s="12"/>
      <c r="B116" s="4"/>
      <c r="C116" s="17"/>
      <c r="D116" s="12"/>
      <c r="E116" s="12"/>
      <c r="F116" s="4" t="s">
        <v>14</v>
      </c>
      <c r="G116" s="4"/>
      <c r="H116" s="22"/>
      <c r="I116" s="5"/>
      <c r="J116" s="5">
        <f>SUM(J115)</f>
        <v>45963.75</v>
      </c>
      <c r="K116" s="4"/>
    </row>
    <row r="117" spans="1:11">
      <c r="A117" s="11">
        <v>7</v>
      </c>
      <c r="B117" s="2" t="s">
        <v>87</v>
      </c>
      <c r="C117" s="10" t="s">
        <v>115</v>
      </c>
      <c r="D117" s="11">
        <v>613242</v>
      </c>
      <c r="E117" s="11" t="s">
        <v>125</v>
      </c>
      <c r="F117" s="2" t="s">
        <v>126</v>
      </c>
      <c r="G117" s="2" t="s">
        <v>12</v>
      </c>
      <c r="H117" s="21">
        <v>158</v>
      </c>
      <c r="I117" s="3">
        <f>33.25</f>
        <v>33.25</v>
      </c>
      <c r="J117" s="3">
        <f>H117*I117</f>
        <v>5253.5</v>
      </c>
      <c r="K117" s="2"/>
    </row>
    <row r="118" spans="1:11">
      <c r="A118" s="11"/>
      <c r="B118" s="2" t="s">
        <v>87</v>
      </c>
      <c r="C118" s="10" t="s">
        <v>127</v>
      </c>
      <c r="D118" s="11">
        <v>613242</v>
      </c>
      <c r="E118" s="11" t="s">
        <v>134</v>
      </c>
      <c r="F118" s="2" t="s">
        <v>128</v>
      </c>
      <c r="G118" s="2" t="s">
        <v>12</v>
      </c>
      <c r="H118" s="21">
        <v>60</v>
      </c>
      <c r="I118" s="3">
        <v>15</v>
      </c>
      <c r="J118" s="3">
        <f t="shared" ref="J118:J125" si="6">H118*I118</f>
        <v>900</v>
      </c>
      <c r="K118" s="2"/>
    </row>
    <row r="119" spans="1:11">
      <c r="A119" s="11"/>
      <c r="B119" s="2" t="s">
        <v>87</v>
      </c>
      <c r="C119" s="10" t="s">
        <v>127</v>
      </c>
      <c r="D119" s="11">
        <v>613242</v>
      </c>
      <c r="E119" s="11" t="s">
        <v>134</v>
      </c>
      <c r="F119" s="33" t="s">
        <v>130</v>
      </c>
      <c r="G119" s="2" t="s">
        <v>12</v>
      </c>
      <c r="H119" s="21">
        <v>1</v>
      </c>
      <c r="I119" s="3">
        <v>35</v>
      </c>
      <c r="J119" s="3">
        <f t="shared" si="6"/>
        <v>35</v>
      </c>
      <c r="K119" s="2"/>
    </row>
    <row r="120" spans="1:11">
      <c r="A120" s="11"/>
      <c r="B120" s="2" t="s">
        <v>87</v>
      </c>
      <c r="C120" s="10" t="s">
        <v>127</v>
      </c>
      <c r="D120" s="11">
        <v>613242</v>
      </c>
      <c r="E120" s="11" t="s">
        <v>134</v>
      </c>
      <c r="F120" s="2" t="s">
        <v>131</v>
      </c>
      <c r="G120" s="2" t="s">
        <v>12</v>
      </c>
      <c r="H120" s="21">
        <v>110</v>
      </c>
      <c r="I120" s="3">
        <v>0.5</v>
      </c>
      <c r="J120" s="3">
        <f t="shared" si="6"/>
        <v>55</v>
      </c>
      <c r="K120" s="2"/>
    </row>
    <row r="121" spans="1:11">
      <c r="A121" s="11"/>
      <c r="B121" s="2" t="s">
        <v>87</v>
      </c>
      <c r="C121" s="10" t="s">
        <v>127</v>
      </c>
      <c r="D121" s="11">
        <v>613242</v>
      </c>
      <c r="E121" s="11" t="s">
        <v>134</v>
      </c>
      <c r="F121" s="2" t="s">
        <v>132</v>
      </c>
      <c r="G121" s="2" t="s">
        <v>12</v>
      </c>
      <c r="H121" s="21">
        <v>40</v>
      </c>
      <c r="I121" s="3">
        <v>0.3</v>
      </c>
      <c r="J121" s="3">
        <f t="shared" si="6"/>
        <v>12</v>
      </c>
      <c r="K121" s="2"/>
    </row>
    <row r="122" spans="1:11">
      <c r="A122" s="11"/>
      <c r="B122" s="2" t="s">
        <v>87</v>
      </c>
      <c r="C122" s="10" t="s">
        <v>127</v>
      </c>
      <c r="D122" s="11">
        <v>611021</v>
      </c>
      <c r="E122" s="11">
        <v>1113</v>
      </c>
      <c r="F122" s="2" t="s">
        <v>133</v>
      </c>
      <c r="G122" s="2" t="s">
        <v>12</v>
      </c>
      <c r="H122" s="21">
        <v>2</v>
      </c>
      <c r="I122" s="3">
        <v>85</v>
      </c>
      <c r="J122" s="3">
        <f t="shared" si="6"/>
        <v>170</v>
      </c>
      <c r="K122" s="2"/>
    </row>
    <row r="123" spans="1:11">
      <c r="A123" s="11"/>
      <c r="B123" s="2" t="s">
        <v>87</v>
      </c>
      <c r="C123" s="10" t="s">
        <v>137</v>
      </c>
      <c r="D123" s="11">
        <v>611021</v>
      </c>
      <c r="E123" s="11">
        <v>1113</v>
      </c>
      <c r="F123" s="2" t="s">
        <v>153</v>
      </c>
      <c r="G123" s="2" t="s">
        <v>12</v>
      </c>
      <c r="H123" s="23">
        <v>20</v>
      </c>
      <c r="I123" s="9">
        <v>300</v>
      </c>
      <c r="J123" s="3">
        <f t="shared" si="6"/>
        <v>6000</v>
      </c>
      <c r="K123" s="2"/>
    </row>
    <row r="124" spans="1:11" ht="15.75">
      <c r="A124" s="11"/>
      <c r="B124" s="2" t="s">
        <v>87</v>
      </c>
      <c r="C124" s="10" t="s">
        <v>137</v>
      </c>
      <c r="D124" s="11">
        <v>611021</v>
      </c>
      <c r="E124" s="11">
        <v>1113</v>
      </c>
      <c r="F124" s="79" t="s">
        <v>642</v>
      </c>
      <c r="G124" s="2" t="s">
        <v>12</v>
      </c>
      <c r="H124" s="23">
        <v>10</v>
      </c>
      <c r="I124" s="9">
        <v>1000</v>
      </c>
      <c r="J124" s="3">
        <f t="shared" si="6"/>
        <v>10000</v>
      </c>
      <c r="K124" s="2"/>
    </row>
    <row r="125" spans="1:11">
      <c r="A125" s="11"/>
      <c r="B125" s="2" t="s">
        <v>87</v>
      </c>
      <c r="C125" s="10" t="s">
        <v>137</v>
      </c>
      <c r="D125" s="11">
        <v>611021</v>
      </c>
      <c r="E125" s="11">
        <v>1113</v>
      </c>
      <c r="F125" s="2" t="s">
        <v>141</v>
      </c>
      <c r="G125" s="2" t="s">
        <v>12</v>
      </c>
      <c r="H125" s="23">
        <v>10</v>
      </c>
      <c r="I125" s="3">
        <v>350</v>
      </c>
      <c r="J125" s="3">
        <f t="shared" si="6"/>
        <v>3500</v>
      </c>
      <c r="K125" s="2"/>
    </row>
    <row r="126" spans="1:11">
      <c r="A126" s="11"/>
      <c r="B126" s="2" t="s">
        <v>87</v>
      </c>
      <c r="C126" s="10" t="s">
        <v>158</v>
      </c>
      <c r="D126" s="11">
        <v>611021</v>
      </c>
      <c r="E126" s="11">
        <v>1514</v>
      </c>
      <c r="F126" s="2" t="s">
        <v>148</v>
      </c>
      <c r="G126" s="2" t="s">
        <v>146</v>
      </c>
      <c r="H126" s="21" t="s">
        <v>159</v>
      </c>
      <c r="I126" s="3"/>
      <c r="J126" s="3">
        <f>1937.71+1305.72</f>
        <v>3243.4300000000003</v>
      </c>
      <c r="K126" s="2"/>
    </row>
    <row r="127" spans="1:11">
      <c r="A127" s="11"/>
      <c r="B127" s="2" t="s">
        <v>87</v>
      </c>
      <c r="C127" s="10" t="s">
        <v>150</v>
      </c>
      <c r="D127" s="11">
        <v>611021</v>
      </c>
      <c r="E127" s="11">
        <v>1514</v>
      </c>
      <c r="F127" s="2" t="s">
        <v>148</v>
      </c>
      <c r="G127" s="2" t="s">
        <v>146</v>
      </c>
      <c r="H127" s="21" t="s">
        <v>151</v>
      </c>
      <c r="I127" s="3"/>
      <c r="J127" s="3">
        <f>1280.45</f>
        <v>1280.45</v>
      </c>
      <c r="K127" s="2"/>
    </row>
    <row r="128" spans="1:11" ht="30">
      <c r="A128" s="11"/>
      <c r="B128" s="2" t="s">
        <v>87</v>
      </c>
      <c r="C128" s="10" t="s">
        <v>166</v>
      </c>
      <c r="D128" s="11">
        <v>617520</v>
      </c>
      <c r="E128" s="11">
        <v>1113</v>
      </c>
      <c r="F128" s="2" t="s">
        <v>167</v>
      </c>
      <c r="G128" s="2" t="s">
        <v>12</v>
      </c>
      <c r="H128" s="21">
        <v>1</v>
      </c>
      <c r="I128" s="3">
        <v>9192.75</v>
      </c>
      <c r="J128" s="3">
        <f>H128*I128</f>
        <v>9192.75</v>
      </c>
      <c r="K128" s="2"/>
    </row>
    <row r="129" spans="1:11">
      <c r="A129" s="12"/>
      <c r="B129" s="4"/>
      <c r="C129" s="17"/>
      <c r="D129" s="12"/>
      <c r="E129" s="12"/>
      <c r="F129" s="4" t="s">
        <v>14</v>
      </c>
      <c r="G129" s="4"/>
      <c r="H129" s="22"/>
      <c r="I129" s="5"/>
      <c r="J129" s="5">
        <f>SUM(J117:J128)</f>
        <v>39642.130000000005</v>
      </c>
      <c r="K129" s="4"/>
    </row>
    <row r="130" spans="1:11">
      <c r="A130" s="19">
        <v>8</v>
      </c>
      <c r="B130" s="8" t="s">
        <v>48</v>
      </c>
      <c r="C130" s="10" t="s">
        <v>115</v>
      </c>
      <c r="D130" s="11">
        <v>613242</v>
      </c>
      <c r="E130" s="11" t="s">
        <v>125</v>
      </c>
      <c r="F130" s="2" t="s">
        <v>126</v>
      </c>
      <c r="G130" s="2" t="s">
        <v>12</v>
      </c>
      <c r="H130" s="21">
        <f>158+158</f>
        <v>316</v>
      </c>
      <c r="I130" s="3">
        <f>33.25</f>
        <v>33.25</v>
      </c>
      <c r="J130" s="9">
        <f>H130*I130</f>
        <v>10507</v>
      </c>
      <c r="K130" s="8"/>
    </row>
    <row r="131" spans="1:11">
      <c r="A131" s="19"/>
      <c r="B131" s="8" t="s">
        <v>48</v>
      </c>
      <c r="C131" s="10" t="s">
        <v>127</v>
      </c>
      <c r="D131" s="11">
        <v>611021</v>
      </c>
      <c r="E131" s="11">
        <v>1113</v>
      </c>
      <c r="F131" s="2" t="s">
        <v>135</v>
      </c>
      <c r="G131" s="2" t="s">
        <v>12</v>
      </c>
      <c r="H131" s="21">
        <v>7</v>
      </c>
      <c r="I131" s="3">
        <v>2430</v>
      </c>
      <c r="J131" s="9">
        <f t="shared" ref="J131:J141" si="7">H131*I131</f>
        <v>17010</v>
      </c>
      <c r="K131" s="8"/>
    </row>
    <row r="132" spans="1:11">
      <c r="A132" s="19"/>
      <c r="B132" s="8" t="s">
        <v>48</v>
      </c>
      <c r="C132" s="10" t="s">
        <v>127</v>
      </c>
      <c r="D132" s="11">
        <v>613242</v>
      </c>
      <c r="E132" s="11" t="s">
        <v>134</v>
      </c>
      <c r="F132" s="2" t="s">
        <v>128</v>
      </c>
      <c r="G132" s="2" t="s">
        <v>12</v>
      </c>
      <c r="H132" s="23">
        <v>60</v>
      </c>
      <c r="I132" s="9">
        <v>7</v>
      </c>
      <c r="J132" s="9">
        <f t="shared" si="7"/>
        <v>420</v>
      </c>
      <c r="K132" s="8"/>
    </row>
    <row r="133" spans="1:11">
      <c r="A133" s="19"/>
      <c r="B133" s="8" t="s">
        <v>48</v>
      </c>
      <c r="C133" s="10" t="s">
        <v>127</v>
      </c>
      <c r="D133" s="11">
        <v>613242</v>
      </c>
      <c r="E133" s="11" t="s">
        <v>134</v>
      </c>
      <c r="F133" s="2" t="s">
        <v>130</v>
      </c>
      <c r="G133" s="2" t="s">
        <v>12</v>
      </c>
      <c r="H133" s="23">
        <v>2</v>
      </c>
      <c r="I133" s="9">
        <v>60</v>
      </c>
      <c r="J133" s="9">
        <f t="shared" si="7"/>
        <v>120</v>
      </c>
      <c r="K133" s="8"/>
    </row>
    <row r="134" spans="1:11">
      <c r="A134" s="19"/>
      <c r="B134" s="8" t="s">
        <v>48</v>
      </c>
      <c r="C134" s="10" t="s">
        <v>127</v>
      </c>
      <c r="D134" s="11">
        <v>613242</v>
      </c>
      <c r="E134" s="11" t="s">
        <v>134</v>
      </c>
      <c r="F134" s="2" t="s">
        <v>131</v>
      </c>
      <c r="G134" s="2" t="s">
        <v>12</v>
      </c>
      <c r="H134" s="23">
        <v>120</v>
      </c>
      <c r="I134" s="9">
        <v>0.5</v>
      </c>
      <c r="J134" s="9">
        <f t="shared" si="7"/>
        <v>60</v>
      </c>
      <c r="K134" s="8"/>
    </row>
    <row r="135" spans="1:11">
      <c r="A135" s="19"/>
      <c r="B135" s="8" t="s">
        <v>48</v>
      </c>
      <c r="C135" s="10" t="s">
        <v>127</v>
      </c>
      <c r="D135" s="11">
        <v>613242</v>
      </c>
      <c r="E135" s="11" t="s">
        <v>134</v>
      </c>
      <c r="F135" s="2" t="s">
        <v>132</v>
      </c>
      <c r="G135" s="2" t="s">
        <v>12</v>
      </c>
      <c r="H135" s="23">
        <v>40</v>
      </c>
      <c r="I135" s="9">
        <v>0.85</v>
      </c>
      <c r="J135" s="9">
        <f t="shared" si="7"/>
        <v>34</v>
      </c>
      <c r="K135" s="8"/>
    </row>
    <row r="136" spans="1:11">
      <c r="A136" s="19"/>
      <c r="B136" s="8" t="s">
        <v>48</v>
      </c>
      <c r="C136" s="10" t="s">
        <v>127</v>
      </c>
      <c r="D136" s="11">
        <v>611021</v>
      </c>
      <c r="E136" s="11">
        <v>1113</v>
      </c>
      <c r="F136" s="2" t="s">
        <v>133</v>
      </c>
      <c r="G136" s="2" t="s">
        <v>12</v>
      </c>
      <c r="H136" s="23">
        <v>2</v>
      </c>
      <c r="I136" s="9">
        <v>79</v>
      </c>
      <c r="J136" s="9">
        <f t="shared" si="7"/>
        <v>158</v>
      </c>
      <c r="K136" s="8"/>
    </row>
    <row r="137" spans="1:11">
      <c r="A137" s="19"/>
      <c r="B137" s="8" t="s">
        <v>48</v>
      </c>
      <c r="C137" s="10" t="s">
        <v>127</v>
      </c>
      <c r="D137" s="11">
        <v>611021</v>
      </c>
      <c r="E137" s="11">
        <v>1113</v>
      </c>
      <c r="F137" s="2" t="s">
        <v>45</v>
      </c>
      <c r="G137" s="2" t="s">
        <v>12</v>
      </c>
      <c r="H137" s="23">
        <v>1</v>
      </c>
      <c r="I137" s="9">
        <v>50.5</v>
      </c>
      <c r="J137" s="9">
        <f t="shared" si="7"/>
        <v>50.5</v>
      </c>
      <c r="K137" s="8"/>
    </row>
    <row r="138" spans="1:11">
      <c r="A138" s="19"/>
      <c r="B138" s="8" t="s">
        <v>48</v>
      </c>
      <c r="C138" s="10" t="s">
        <v>137</v>
      </c>
      <c r="D138" s="11">
        <v>611021</v>
      </c>
      <c r="E138" s="11">
        <v>1113</v>
      </c>
      <c r="F138" s="2" t="s">
        <v>153</v>
      </c>
      <c r="G138" s="2" t="s">
        <v>12</v>
      </c>
      <c r="H138" s="23">
        <v>20</v>
      </c>
      <c r="I138" s="9">
        <v>135</v>
      </c>
      <c r="J138" s="9">
        <f t="shared" si="7"/>
        <v>2700</v>
      </c>
      <c r="K138" s="8"/>
    </row>
    <row r="139" spans="1:11">
      <c r="A139" s="19"/>
      <c r="B139" s="8" t="s">
        <v>48</v>
      </c>
      <c r="C139" s="10" t="s">
        <v>137</v>
      </c>
      <c r="D139" s="11">
        <v>611021</v>
      </c>
      <c r="E139" s="11">
        <v>1113</v>
      </c>
      <c r="F139" s="2" t="s">
        <v>139</v>
      </c>
      <c r="G139" s="2" t="s">
        <v>12</v>
      </c>
      <c r="H139" s="23">
        <v>10</v>
      </c>
      <c r="I139" s="9">
        <v>3255</v>
      </c>
      <c r="J139" s="9">
        <f t="shared" si="7"/>
        <v>32550</v>
      </c>
      <c r="K139" s="8"/>
    </row>
    <row r="140" spans="1:11">
      <c r="A140" s="19"/>
      <c r="B140" s="8" t="s">
        <v>48</v>
      </c>
      <c r="C140" s="10" t="s">
        <v>137</v>
      </c>
      <c r="D140" s="11">
        <v>611021</v>
      </c>
      <c r="E140" s="11">
        <v>1113</v>
      </c>
      <c r="F140" s="2" t="s">
        <v>140</v>
      </c>
      <c r="G140" s="2" t="s">
        <v>12</v>
      </c>
      <c r="H140" s="23">
        <v>2</v>
      </c>
      <c r="I140" s="9">
        <v>1199</v>
      </c>
      <c r="J140" s="9">
        <f t="shared" si="7"/>
        <v>2398</v>
      </c>
      <c r="K140" s="8"/>
    </row>
    <row r="141" spans="1:11">
      <c r="A141" s="19"/>
      <c r="B141" s="8" t="s">
        <v>48</v>
      </c>
      <c r="C141" s="10" t="s">
        <v>137</v>
      </c>
      <c r="D141" s="11">
        <v>611021</v>
      </c>
      <c r="E141" s="11">
        <v>1113</v>
      </c>
      <c r="F141" s="2" t="s">
        <v>141</v>
      </c>
      <c r="G141" s="2" t="s">
        <v>12</v>
      </c>
      <c r="H141" s="23">
        <v>10</v>
      </c>
      <c r="I141" s="9">
        <v>279.3</v>
      </c>
      <c r="J141" s="9">
        <f t="shared" si="7"/>
        <v>2793</v>
      </c>
      <c r="K141" s="8"/>
    </row>
    <row r="142" spans="1:11">
      <c r="A142" s="19"/>
      <c r="B142" s="8" t="s">
        <v>48</v>
      </c>
      <c r="C142" s="10" t="s">
        <v>158</v>
      </c>
      <c r="D142" s="11">
        <v>611021</v>
      </c>
      <c r="E142" s="11">
        <v>1514</v>
      </c>
      <c r="F142" s="2" t="s">
        <v>148</v>
      </c>
      <c r="G142" s="2" t="s">
        <v>146</v>
      </c>
      <c r="H142" s="23" t="s">
        <v>154</v>
      </c>
      <c r="I142" s="9"/>
      <c r="J142" s="9">
        <v>2611.6999999999998</v>
      </c>
      <c r="K142" s="8"/>
    </row>
    <row r="143" spans="1:11">
      <c r="A143" s="19"/>
      <c r="B143" s="8" t="s">
        <v>48</v>
      </c>
      <c r="C143" s="10" t="s">
        <v>150</v>
      </c>
      <c r="D143" s="11">
        <v>611021</v>
      </c>
      <c r="E143" s="11">
        <v>1514</v>
      </c>
      <c r="F143" s="2" t="s">
        <v>148</v>
      </c>
      <c r="G143" s="2" t="s">
        <v>146</v>
      </c>
      <c r="H143" s="23" t="s">
        <v>151</v>
      </c>
      <c r="I143" s="9"/>
      <c r="J143" s="9">
        <v>1280.45</v>
      </c>
      <c r="K143" s="8"/>
    </row>
    <row r="144" spans="1:11" ht="30">
      <c r="A144" s="19"/>
      <c r="B144" s="8" t="s">
        <v>48</v>
      </c>
      <c r="C144" s="10" t="s">
        <v>166</v>
      </c>
      <c r="D144" s="11">
        <v>617520</v>
      </c>
      <c r="E144" s="11">
        <v>1113</v>
      </c>
      <c r="F144" s="2" t="s">
        <v>167</v>
      </c>
      <c r="G144" s="2" t="s">
        <v>12</v>
      </c>
      <c r="H144" s="21">
        <v>8</v>
      </c>
      <c r="I144" s="3">
        <v>9192.75</v>
      </c>
      <c r="J144" s="3">
        <f>H144*I144</f>
        <v>73542</v>
      </c>
      <c r="K144" s="8"/>
    </row>
    <row r="145" spans="1:11">
      <c r="A145" s="12"/>
      <c r="B145" s="4"/>
      <c r="C145" s="17"/>
      <c r="D145" s="12"/>
      <c r="E145" s="12"/>
      <c r="F145" s="4" t="s">
        <v>14</v>
      </c>
      <c r="G145" s="4"/>
      <c r="H145" s="22"/>
      <c r="I145" s="5"/>
      <c r="J145" s="5">
        <f>SUM(J130:J144)</f>
        <v>146234.65</v>
      </c>
      <c r="K145" s="4"/>
    </row>
    <row r="146" spans="1:11">
      <c r="A146" s="11">
        <v>9</v>
      </c>
      <c r="B146" s="2" t="s">
        <v>75</v>
      </c>
      <c r="C146" s="10" t="s">
        <v>115</v>
      </c>
      <c r="D146" s="11">
        <v>611021</v>
      </c>
      <c r="E146" s="11">
        <v>1113</v>
      </c>
      <c r="F146" s="2" t="s">
        <v>160</v>
      </c>
      <c r="G146" s="2" t="s">
        <v>12</v>
      </c>
      <c r="H146" s="21">
        <v>2</v>
      </c>
      <c r="I146" s="3">
        <v>11160.69</v>
      </c>
      <c r="J146" s="3">
        <f>H146*I146</f>
        <v>22321.38</v>
      </c>
      <c r="K146" s="2"/>
    </row>
    <row r="147" spans="1:11">
      <c r="A147" s="11"/>
      <c r="B147" s="2" t="s">
        <v>75</v>
      </c>
      <c r="C147" s="10" t="s">
        <v>115</v>
      </c>
      <c r="D147" s="11">
        <v>613230</v>
      </c>
      <c r="E147" s="11" t="s">
        <v>161</v>
      </c>
      <c r="F147" s="2" t="s">
        <v>126</v>
      </c>
      <c r="G147" s="2" t="s">
        <v>12</v>
      </c>
      <c r="H147" s="21">
        <v>158</v>
      </c>
      <c r="I147" s="3">
        <f>33.25</f>
        <v>33.25</v>
      </c>
      <c r="J147" s="3">
        <f t="shared" ref="J147:J150" si="8">H147*I147</f>
        <v>5253.5</v>
      </c>
      <c r="K147" s="2"/>
    </row>
    <row r="148" spans="1:11">
      <c r="A148" s="11"/>
      <c r="B148" s="2" t="s">
        <v>75</v>
      </c>
      <c r="C148" s="10" t="s">
        <v>115</v>
      </c>
      <c r="D148" s="11">
        <v>613230</v>
      </c>
      <c r="E148" s="11">
        <v>1113</v>
      </c>
      <c r="F148" s="2" t="s">
        <v>28</v>
      </c>
      <c r="G148" s="2" t="s">
        <v>12</v>
      </c>
      <c r="H148" s="21">
        <v>1</v>
      </c>
      <c r="I148" s="3">
        <v>4870</v>
      </c>
      <c r="J148" s="3">
        <f t="shared" si="8"/>
        <v>4870</v>
      </c>
      <c r="K148" s="2"/>
    </row>
    <row r="149" spans="1:11">
      <c r="A149" s="11"/>
      <c r="B149" s="2" t="s">
        <v>75</v>
      </c>
      <c r="C149" s="10" t="s">
        <v>115</v>
      </c>
      <c r="D149" s="11">
        <v>613230</v>
      </c>
      <c r="E149" s="11">
        <v>1113</v>
      </c>
      <c r="F149" s="2" t="s">
        <v>29</v>
      </c>
      <c r="G149" s="2" t="s">
        <v>12</v>
      </c>
      <c r="H149" s="21">
        <v>5</v>
      </c>
      <c r="I149" s="3">
        <v>380</v>
      </c>
      <c r="J149" s="3">
        <f t="shared" si="8"/>
        <v>1900</v>
      </c>
      <c r="K149" s="2"/>
    </row>
    <row r="150" spans="1:11">
      <c r="A150" s="11"/>
      <c r="B150" s="2" t="s">
        <v>75</v>
      </c>
      <c r="C150" s="10" t="s">
        <v>115</v>
      </c>
      <c r="D150" s="11">
        <v>613230</v>
      </c>
      <c r="E150" s="11">
        <v>1113</v>
      </c>
      <c r="F150" s="2" t="s">
        <v>26</v>
      </c>
      <c r="G150" s="2" t="s">
        <v>12</v>
      </c>
      <c r="H150" s="21">
        <v>1</v>
      </c>
      <c r="I150" s="3">
        <v>11595.74</v>
      </c>
      <c r="J150" s="3">
        <f t="shared" si="8"/>
        <v>11595.74</v>
      </c>
      <c r="K150" s="2"/>
    </row>
    <row r="151" spans="1:11">
      <c r="A151" s="11"/>
      <c r="B151" s="2" t="s">
        <v>75</v>
      </c>
      <c r="C151" s="10" t="s">
        <v>115</v>
      </c>
      <c r="D151" s="11">
        <v>611021</v>
      </c>
      <c r="E151" s="11">
        <v>1113</v>
      </c>
      <c r="F151" s="2" t="s">
        <v>116</v>
      </c>
      <c r="G151" s="2" t="s">
        <v>12</v>
      </c>
      <c r="H151" s="21">
        <v>1</v>
      </c>
      <c r="I151" s="3">
        <f>1169.22</f>
        <v>1169.22</v>
      </c>
      <c r="J151" s="3">
        <f>H151*I151</f>
        <v>1169.22</v>
      </c>
      <c r="K151" s="2"/>
    </row>
    <row r="152" spans="1:11">
      <c r="A152" s="11"/>
      <c r="B152" s="2" t="s">
        <v>75</v>
      </c>
      <c r="C152" s="10" t="s">
        <v>115</v>
      </c>
      <c r="D152" s="11">
        <v>611021</v>
      </c>
      <c r="E152" s="11">
        <v>1113</v>
      </c>
      <c r="F152" s="2" t="s">
        <v>117</v>
      </c>
      <c r="G152" s="2" t="s">
        <v>12</v>
      </c>
      <c r="H152" s="21">
        <v>1</v>
      </c>
      <c r="I152" s="3">
        <f>623.22</f>
        <v>623.22</v>
      </c>
      <c r="J152" s="3">
        <f t="shared" ref="J152:J160" si="9">H152*I152</f>
        <v>623.22</v>
      </c>
      <c r="K152" s="2"/>
    </row>
    <row r="153" spans="1:11">
      <c r="A153" s="11"/>
      <c r="B153" s="2" t="s">
        <v>75</v>
      </c>
      <c r="C153" s="10" t="s">
        <v>115</v>
      </c>
      <c r="D153" s="11">
        <v>611021</v>
      </c>
      <c r="E153" s="11">
        <v>1113</v>
      </c>
      <c r="F153" s="2" t="s">
        <v>118</v>
      </c>
      <c r="G153" s="2" t="s">
        <v>12</v>
      </c>
      <c r="H153" s="21">
        <v>1</v>
      </c>
      <c r="I153" s="3">
        <f>1091.22</f>
        <v>1091.22</v>
      </c>
      <c r="J153" s="3">
        <f t="shared" si="9"/>
        <v>1091.22</v>
      </c>
      <c r="K153" s="2"/>
    </row>
    <row r="154" spans="1:11">
      <c r="A154" s="11"/>
      <c r="B154" s="2" t="s">
        <v>75</v>
      </c>
      <c r="C154" s="10" t="s">
        <v>115</v>
      </c>
      <c r="D154" s="11">
        <v>613230</v>
      </c>
      <c r="E154" s="11" t="s">
        <v>11</v>
      </c>
      <c r="F154" s="2" t="s">
        <v>119</v>
      </c>
      <c r="G154" s="2" t="s">
        <v>12</v>
      </c>
      <c r="H154" s="21">
        <v>26</v>
      </c>
      <c r="I154" s="3">
        <f>77.22</f>
        <v>77.22</v>
      </c>
      <c r="J154" s="3">
        <f t="shared" si="9"/>
        <v>2007.72</v>
      </c>
      <c r="K154" s="2"/>
    </row>
    <row r="155" spans="1:11">
      <c r="A155" s="11"/>
      <c r="B155" s="2" t="s">
        <v>75</v>
      </c>
      <c r="C155" s="10" t="s">
        <v>115</v>
      </c>
      <c r="D155" s="11">
        <v>613230</v>
      </c>
      <c r="E155" s="11" t="s">
        <v>11</v>
      </c>
      <c r="F155" s="2" t="s">
        <v>120</v>
      </c>
      <c r="G155" s="2" t="s">
        <v>12</v>
      </c>
      <c r="H155" s="21">
        <v>20</v>
      </c>
      <c r="I155" s="3">
        <f>155.22</f>
        <v>155.22</v>
      </c>
      <c r="J155" s="3">
        <f t="shared" si="9"/>
        <v>3104.4</v>
      </c>
      <c r="K155" s="2"/>
    </row>
    <row r="156" spans="1:11">
      <c r="A156" s="11"/>
      <c r="B156" s="2" t="s">
        <v>75</v>
      </c>
      <c r="C156" s="10" t="s">
        <v>115</v>
      </c>
      <c r="D156" s="11">
        <v>613230</v>
      </c>
      <c r="E156" s="11" t="s">
        <v>11</v>
      </c>
      <c r="F156" s="2" t="s">
        <v>121</v>
      </c>
      <c r="G156" s="2" t="s">
        <v>12</v>
      </c>
      <c r="H156" s="21">
        <v>20</v>
      </c>
      <c r="I156" s="3">
        <f>233.22</f>
        <v>233.22</v>
      </c>
      <c r="J156" s="3">
        <f t="shared" si="9"/>
        <v>4664.3999999999996</v>
      </c>
      <c r="K156" s="2"/>
    </row>
    <row r="157" spans="1:11">
      <c r="A157" s="11"/>
      <c r="B157" s="2" t="s">
        <v>75</v>
      </c>
      <c r="C157" s="10" t="s">
        <v>115</v>
      </c>
      <c r="D157" s="11">
        <v>613230</v>
      </c>
      <c r="E157" s="11" t="s">
        <v>11</v>
      </c>
      <c r="F157" s="2" t="s">
        <v>122</v>
      </c>
      <c r="G157" s="2" t="s">
        <v>12</v>
      </c>
      <c r="H157" s="21">
        <v>20</v>
      </c>
      <c r="I157" s="3">
        <f>69.42</f>
        <v>69.42</v>
      </c>
      <c r="J157" s="3">
        <f t="shared" si="9"/>
        <v>1388.4</v>
      </c>
      <c r="K157" s="2"/>
    </row>
    <row r="158" spans="1:11">
      <c r="A158" s="11"/>
      <c r="B158" s="2" t="s">
        <v>75</v>
      </c>
      <c r="C158" s="10" t="s">
        <v>115</v>
      </c>
      <c r="D158" s="11">
        <v>613230</v>
      </c>
      <c r="E158" s="11" t="s">
        <v>11</v>
      </c>
      <c r="F158" s="2" t="s">
        <v>123</v>
      </c>
      <c r="G158" s="2" t="s">
        <v>12</v>
      </c>
      <c r="H158" s="21">
        <v>20</v>
      </c>
      <c r="I158" s="3">
        <f>623.22</f>
        <v>623.22</v>
      </c>
      <c r="J158" s="3">
        <f t="shared" si="9"/>
        <v>12464.400000000001</v>
      </c>
      <c r="K158" s="2"/>
    </row>
    <row r="159" spans="1:11">
      <c r="A159" s="11"/>
      <c r="B159" s="2" t="s">
        <v>75</v>
      </c>
      <c r="C159" s="10" t="s">
        <v>115</v>
      </c>
      <c r="D159" s="11">
        <v>613230</v>
      </c>
      <c r="E159" s="11" t="s">
        <v>11</v>
      </c>
      <c r="F159" s="2" t="s">
        <v>124</v>
      </c>
      <c r="G159" s="2" t="s">
        <v>12</v>
      </c>
      <c r="H159" s="21">
        <v>20</v>
      </c>
      <c r="I159" s="3">
        <f>350.22</f>
        <v>350.22</v>
      </c>
      <c r="J159" s="3">
        <f t="shared" si="9"/>
        <v>7004.4000000000005</v>
      </c>
      <c r="K159" s="2"/>
    </row>
    <row r="160" spans="1:11" ht="30">
      <c r="A160" s="11"/>
      <c r="B160" s="2" t="s">
        <v>75</v>
      </c>
      <c r="C160" s="10" t="s">
        <v>164</v>
      </c>
      <c r="D160" s="11">
        <v>611021</v>
      </c>
      <c r="E160" s="11">
        <v>1014</v>
      </c>
      <c r="F160" s="2" t="s">
        <v>165</v>
      </c>
      <c r="G160" s="2" t="s">
        <v>12</v>
      </c>
      <c r="H160" s="21">
        <v>1</v>
      </c>
      <c r="I160" s="3">
        <v>168750</v>
      </c>
      <c r="J160" s="3">
        <f t="shared" si="9"/>
        <v>168750</v>
      </c>
      <c r="K160" s="2"/>
    </row>
    <row r="161" spans="1:11" ht="30">
      <c r="A161" s="11"/>
      <c r="B161" s="2"/>
      <c r="C161" s="10" t="s">
        <v>166</v>
      </c>
      <c r="D161" s="11">
        <v>617520</v>
      </c>
      <c r="E161" s="11">
        <v>1113</v>
      </c>
      <c r="F161" s="2" t="s">
        <v>167</v>
      </c>
      <c r="G161" s="2" t="s">
        <v>12</v>
      </c>
      <c r="H161" s="21">
        <v>5</v>
      </c>
      <c r="I161" s="3">
        <v>9192.75</v>
      </c>
      <c r="J161" s="3">
        <f>H161*I161</f>
        <v>45963.75</v>
      </c>
      <c r="K161" s="2"/>
    </row>
    <row r="162" spans="1:11">
      <c r="A162" s="12"/>
      <c r="B162" s="4"/>
      <c r="C162" s="17"/>
      <c r="D162" s="12"/>
      <c r="E162" s="12"/>
      <c r="F162" s="4" t="s">
        <v>14</v>
      </c>
      <c r="G162" s="4"/>
      <c r="H162" s="22"/>
      <c r="I162" s="5"/>
      <c r="J162" s="5">
        <f>SUM(J146:J161)</f>
        <v>294171.75</v>
      </c>
      <c r="K162" s="4"/>
    </row>
    <row r="163" spans="1:11" ht="30">
      <c r="A163" s="19"/>
      <c r="B163" s="8" t="s">
        <v>55</v>
      </c>
      <c r="C163" s="10" t="s">
        <v>166</v>
      </c>
      <c r="D163" s="11">
        <v>617520</v>
      </c>
      <c r="E163" s="11">
        <v>1113</v>
      </c>
      <c r="F163" s="2" t="s">
        <v>167</v>
      </c>
      <c r="G163" s="2" t="s">
        <v>12</v>
      </c>
      <c r="H163" s="21">
        <v>7</v>
      </c>
      <c r="I163" s="3">
        <v>9192.75</v>
      </c>
      <c r="J163" s="3">
        <f>H163*I163</f>
        <v>64349.25</v>
      </c>
      <c r="K163" s="8"/>
    </row>
    <row r="164" spans="1:11">
      <c r="A164" s="12"/>
      <c r="B164" s="4"/>
      <c r="C164" s="17"/>
      <c r="D164" s="12"/>
      <c r="E164" s="12"/>
      <c r="F164" s="4" t="s">
        <v>14</v>
      </c>
      <c r="G164" s="4"/>
      <c r="H164" s="22"/>
      <c r="I164" s="5"/>
      <c r="J164" s="5">
        <f>SUM(J163)</f>
        <v>64349.25</v>
      </c>
      <c r="K164" s="4"/>
    </row>
    <row r="165" spans="1:11" s="26" customFormat="1" ht="30">
      <c r="A165" s="19"/>
      <c r="B165" s="8" t="s">
        <v>168</v>
      </c>
      <c r="C165" s="10" t="s">
        <v>166</v>
      </c>
      <c r="D165" s="11">
        <v>617520</v>
      </c>
      <c r="E165" s="11">
        <v>1113</v>
      </c>
      <c r="F165" s="2" t="s">
        <v>167</v>
      </c>
      <c r="G165" s="2" t="s">
        <v>12</v>
      </c>
      <c r="H165" s="21">
        <v>4</v>
      </c>
      <c r="I165" s="3">
        <v>9192.75</v>
      </c>
      <c r="J165" s="3">
        <f>H165*I165</f>
        <v>36771</v>
      </c>
      <c r="K165" s="8"/>
    </row>
    <row r="166" spans="1:11">
      <c r="A166" s="12"/>
      <c r="B166" s="4"/>
      <c r="C166" s="17"/>
      <c r="D166" s="12"/>
      <c r="E166" s="12"/>
      <c r="F166" s="4" t="s">
        <v>14</v>
      </c>
      <c r="G166" s="4"/>
      <c r="H166" s="22"/>
      <c r="I166" s="5"/>
      <c r="J166" s="5">
        <f>SUM(J165)</f>
        <v>36771</v>
      </c>
      <c r="K166" s="4"/>
    </row>
    <row r="167" spans="1:11">
      <c r="A167" s="11">
        <v>10</v>
      </c>
      <c r="B167" s="2" t="s">
        <v>108</v>
      </c>
      <c r="C167" s="10" t="s">
        <v>115</v>
      </c>
      <c r="D167" s="11">
        <v>613242</v>
      </c>
      <c r="E167" s="11" t="s">
        <v>125</v>
      </c>
      <c r="F167" s="2" t="s">
        <v>126</v>
      </c>
      <c r="G167" s="2" t="s">
        <v>12</v>
      </c>
      <c r="H167" s="21">
        <f>158+158</f>
        <v>316</v>
      </c>
      <c r="I167" s="3">
        <f>33.25</f>
        <v>33.25</v>
      </c>
      <c r="J167" s="9">
        <f>H167*I167</f>
        <v>10507</v>
      </c>
      <c r="K167" s="2"/>
    </row>
    <row r="168" spans="1:11">
      <c r="A168" s="11"/>
      <c r="B168" s="2" t="s">
        <v>108</v>
      </c>
      <c r="C168" s="10" t="s">
        <v>127</v>
      </c>
      <c r="D168" s="11">
        <v>611021</v>
      </c>
      <c r="E168" s="11">
        <v>1113</v>
      </c>
      <c r="F168" s="2" t="s">
        <v>135</v>
      </c>
      <c r="G168" s="2" t="s">
        <v>12</v>
      </c>
      <c r="H168" s="21">
        <v>7</v>
      </c>
      <c r="I168" s="3">
        <v>2430</v>
      </c>
      <c r="J168" s="9">
        <f t="shared" ref="J168:J177" si="10">H168*I168</f>
        <v>17010</v>
      </c>
      <c r="K168" s="2"/>
    </row>
    <row r="169" spans="1:11">
      <c r="A169" s="11"/>
      <c r="B169" s="2" t="s">
        <v>108</v>
      </c>
      <c r="C169" s="10" t="s">
        <v>127</v>
      </c>
      <c r="D169" s="11">
        <v>613242</v>
      </c>
      <c r="E169" s="11" t="s">
        <v>134</v>
      </c>
      <c r="F169" s="2" t="s">
        <v>128</v>
      </c>
      <c r="G169" s="2" t="s">
        <v>12</v>
      </c>
      <c r="H169" s="23">
        <v>58</v>
      </c>
      <c r="I169" s="9">
        <v>20</v>
      </c>
      <c r="J169" s="9">
        <f t="shared" si="10"/>
        <v>1160</v>
      </c>
      <c r="K169" s="2"/>
    </row>
    <row r="170" spans="1:11">
      <c r="A170" s="11"/>
      <c r="B170" s="2" t="s">
        <v>108</v>
      </c>
      <c r="C170" s="10" t="s">
        <v>127</v>
      </c>
      <c r="D170" s="11">
        <v>613242</v>
      </c>
      <c r="E170" s="11" t="s">
        <v>134</v>
      </c>
      <c r="F170" s="2" t="s">
        <v>130</v>
      </c>
      <c r="G170" s="2" t="s">
        <v>12</v>
      </c>
      <c r="H170" s="23">
        <v>1</v>
      </c>
      <c r="I170" s="9">
        <v>80</v>
      </c>
      <c r="J170" s="9">
        <f t="shared" si="10"/>
        <v>80</v>
      </c>
      <c r="K170" s="2"/>
    </row>
    <row r="171" spans="1:11">
      <c r="A171" s="11"/>
      <c r="B171" s="2" t="s">
        <v>108</v>
      </c>
      <c r="C171" s="10" t="s">
        <v>127</v>
      </c>
      <c r="D171" s="11">
        <v>613242</v>
      </c>
      <c r="E171" s="11" t="s">
        <v>134</v>
      </c>
      <c r="F171" s="2" t="s">
        <v>131</v>
      </c>
      <c r="G171" s="2" t="s">
        <v>12</v>
      </c>
      <c r="H171" s="23">
        <v>120</v>
      </c>
      <c r="I171" s="9">
        <v>1.25</v>
      </c>
      <c r="J171" s="9">
        <f t="shared" si="10"/>
        <v>150</v>
      </c>
      <c r="K171" s="2"/>
    </row>
    <row r="172" spans="1:11">
      <c r="A172" s="11"/>
      <c r="B172" s="2" t="s">
        <v>108</v>
      </c>
      <c r="C172" s="10" t="s">
        <v>127</v>
      </c>
      <c r="D172" s="11">
        <v>613242</v>
      </c>
      <c r="E172" s="11" t="s">
        <v>134</v>
      </c>
      <c r="F172" s="2" t="s">
        <v>132</v>
      </c>
      <c r="G172" s="2" t="s">
        <v>12</v>
      </c>
      <c r="H172" s="23">
        <v>40</v>
      </c>
      <c r="I172" s="9">
        <v>0.7</v>
      </c>
      <c r="J172" s="9">
        <f t="shared" si="10"/>
        <v>28</v>
      </c>
      <c r="K172" s="2"/>
    </row>
    <row r="173" spans="1:11">
      <c r="A173" s="11"/>
      <c r="B173" s="2" t="s">
        <v>108</v>
      </c>
      <c r="C173" s="10" t="s">
        <v>127</v>
      </c>
      <c r="D173" s="11">
        <v>611021</v>
      </c>
      <c r="E173" s="11">
        <v>1113</v>
      </c>
      <c r="F173" s="2" t="s">
        <v>133</v>
      </c>
      <c r="G173" s="2" t="s">
        <v>12</v>
      </c>
      <c r="H173" s="23">
        <v>2</v>
      </c>
      <c r="I173" s="9">
        <v>250</v>
      </c>
      <c r="J173" s="9">
        <f t="shared" si="10"/>
        <v>500</v>
      </c>
      <c r="K173" s="2"/>
    </row>
    <row r="174" spans="1:11">
      <c r="A174" s="11"/>
      <c r="B174" s="2" t="s">
        <v>108</v>
      </c>
      <c r="C174" s="10" t="s">
        <v>137</v>
      </c>
      <c r="D174" s="11">
        <v>611021</v>
      </c>
      <c r="E174" s="11">
        <v>1113</v>
      </c>
      <c r="F174" s="2" t="s">
        <v>153</v>
      </c>
      <c r="G174" s="2" t="s">
        <v>12</v>
      </c>
      <c r="H174" s="23">
        <v>20</v>
      </c>
      <c r="I174" s="9">
        <v>78</v>
      </c>
      <c r="J174" s="9">
        <f t="shared" si="10"/>
        <v>1560</v>
      </c>
      <c r="K174" s="2"/>
    </row>
    <row r="175" spans="1:11">
      <c r="A175" s="11"/>
      <c r="B175" s="2" t="s">
        <v>108</v>
      </c>
      <c r="C175" s="10" t="s">
        <v>137</v>
      </c>
      <c r="D175" s="11">
        <v>611021</v>
      </c>
      <c r="E175" s="11">
        <v>1113</v>
      </c>
      <c r="F175" s="2" t="s">
        <v>139</v>
      </c>
      <c r="G175" s="2" t="s">
        <v>12</v>
      </c>
      <c r="H175" s="23">
        <v>10</v>
      </c>
      <c r="I175" s="9">
        <v>1000</v>
      </c>
      <c r="J175" s="9">
        <f t="shared" si="10"/>
        <v>10000</v>
      </c>
      <c r="K175" s="2"/>
    </row>
    <row r="176" spans="1:11">
      <c r="A176" s="11"/>
      <c r="B176" s="2" t="s">
        <v>108</v>
      </c>
      <c r="C176" s="10" t="s">
        <v>137</v>
      </c>
      <c r="D176" s="11">
        <v>611021</v>
      </c>
      <c r="E176" s="11">
        <v>1113</v>
      </c>
      <c r="F176" s="2" t="s">
        <v>140</v>
      </c>
      <c r="G176" s="2" t="s">
        <v>12</v>
      </c>
      <c r="H176" s="23">
        <v>2</v>
      </c>
      <c r="I176" s="9">
        <v>600</v>
      </c>
      <c r="J176" s="9">
        <f t="shared" si="10"/>
        <v>1200</v>
      </c>
      <c r="K176" s="2"/>
    </row>
    <row r="177" spans="1:11">
      <c r="A177" s="11"/>
      <c r="B177" s="2" t="s">
        <v>108</v>
      </c>
      <c r="C177" s="10" t="s">
        <v>137</v>
      </c>
      <c r="D177" s="11">
        <v>611021</v>
      </c>
      <c r="E177" s="11">
        <v>1113</v>
      </c>
      <c r="F177" s="2" t="s">
        <v>141</v>
      </c>
      <c r="G177" s="2" t="s">
        <v>12</v>
      </c>
      <c r="H177" s="23">
        <v>10</v>
      </c>
      <c r="I177" s="9">
        <v>350</v>
      </c>
      <c r="J177" s="9">
        <f t="shared" si="10"/>
        <v>3500</v>
      </c>
      <c r="K177" s="2"/>
    </row>
    <row r="178" spans="1:11">
      <c r="A178" s="11"/>
      <c r="B178" s="2" t="s">
        <v>108</v>
      </c>
      <c r="C178" s="10" t="s">
        <v>158</v>
      </c>
      <c r="D178" s="11">
        <v>611021</v>
      </c>
      <c r="E178" s="11">
        <v>1514</v>
      </c>
      <c r="F178" s="2" t="s">
        <v>148</v>
      </c>
      <c r="G178" s="2" t="s">
        <v>146</v>
      </c>
      <c r="H178" s="23" t="s">
        <v>154</v>
      </c>
      <c r="I178" s="9"/>
      <c r="J178" s="9">
        <v>2611.69</v>
      </c>
      <c r="K178" s="2"/>
    </row>
    <row r="179" spans="1:11">
      <c r="A179" s="11"/>
      <c r="B179" s="2" t="s">
        <v>108</v>
      </c>
      <c r="C179" s="10" t="s">
        <v>150</v>
      </c>
      <c r="D179" s="11">
        <v>611021</v>
      </c>
      <c r="E179" s="11">
        <v>1514</v>
      </c>
      <c r="F179" s="2" t="s">
        <v>148</v>
      </c>
      <c r="G179" s="2" t="s">
        <v>146</v>
      </c>
      <c r="H179" s="23" t="s">
        <v>151</v>
      </c>
      <c r="I179" s="9"/>
      <c r="J179" s="9">
        <v>1280.45</v>
      </c>
      <c r="K179" s="2"/>
    </row>
    <row r="180" spans="1:11" ht="30">
      <c r="A180" s="11"/>
      <c r="B180" s="2" t="s">
        <v>108</v>
      </c>
      <c r="C180" s="10" t="s">
        <v>166</v>
      </c>
      <c r="D180" s="11">
        <v>617520</v>
      </c>
      <c r="E180" s="11">
        <v>1113</v>
      </c>
      <c r="F180" s="2" t="s">
        <v>167</v>
      </c>
      <c r="G180" s="2" t="s">
        <v>12</v>
      </c>
      <c r="H180" s="21">
        <v>6</v>
      </c>
      <c r="I180" s="3">
        <v>9192.75</v>
      </c>
      <c r="J180" s="3">
        <f>H180*I180</f>
        <v>55156.5</v>
      </c>
      <c r="K180" s="2"/>
    </row>
    <row r="181" spans="1:11">
      <c r="A181" s="12"/>
      <c r="B181" s="4"/>
      <c r="C181" s="17"/>
      <c r="D181" s="12"/>
      <c r="E181" s="12"/>
      <c r="F181" s="4" t="s">
        <v>14</v>
      </c>
      <c r="G181" s="4"/>
      <c r="H181" s="22"/>
      <c r="I181" s="5"/>
      <c r="J181" s="5">
        <f>SUM(J167:J180)</f>
        <v>104743.64</v>
      </c>
      <c r="K181" s="4"/>
    </row>
    <row r="182" spans="1:11" ht="30">
      <c r="A182" s="19"/>
      <c r="B182" s="8" t="s">
        <v>52</v>
      </c>
      <c r="C182" s="10" t="s">
        <v>166</v>
      </c>
      <c r="D182" s="11">
        <v>617520</v>
      </c>
      <c r="E182" s="11">
        <v>1113</v>
      </c>
      <c r="F182" s="2" t="s">
        <v>167</v>
      </c>
      <c r="G182" s="2" t="s">
        <v>12</v>
      </c>
      <c r="H182" s="21">
        <v>3</v>
      </c>
      <c r="I182" s="3">
        <v>9192.75</v>
      </c>
      <c r="J182" s="3">
        <f>H182*I182</f>
        <v>27578.25</v>
      </c>
      <c r="K182" s="8"/>
    </row>
    <row r="183" spans="1:11">
      <c r="A183" s="12"/>
      <c r="B183" s="4"/>
      <c r="C183" s="17"/>
      <c r="D183" s="12"/>
      <c r="E183" s="12"/>
      <c r="F183" s="4" t="s">
        <v>14</v>
      </c>
      <c r="G183" s="4"/>
      <c r="H183" s="22"/>
      <c r="I183" s="5"/>
      <c r="J183" s="5">
        <f>SUM(J182)</f>
        <v>27578.25</v>
      </c>
      <c r="K183" s="4"/>
    </row>
    <row r="184" spans="1:11" ht="30">
      <c r="A184" s="19"/>
      <c r="B184" s="8" t="s">
        <v>84</v>
      </c>
      <c r="C184" s="10" t="s">
        <v>166</v>
      </c>
      <c r="D184" s="11">
        <v>617520</v>
      </c>
      <c r="E184" s="11">
        <v>1113</v>
      </c>
      <c r="F184" s="2" t="s">
        <v>167</v>
      </c>
      <c r="G184" s="2" t="s">
        <v>12</v>
      </c>
      <c r="H184" s="21">
        <v>3</v>
      </c>
      <c r="I184" s="3">
        <v>9192.75</v>
      </c>
      <c r="J184" s="3">
        <f>H184*I184</f>
        <v>27578.25</v>
      </c>
      <c r="K184" s="8"/>
    </row>
    <row r="185" spans="1:11">
      <c r="A185" s="12"/>
      <c r="B185" s="4"/>
      <c r="C185" s="17"/>
      <c r="D185" s="12"/>
      <c r="E185" s="12"/>
      <c r="F185" s="4" t="s">
        <v>14</v>
      </c>
      <c r="G185" s="4"/>
      <c r="H185" s="22"/>
      <c r="I185" s="5"/>
      <c r="J185" s="5">
        <f>SUM(J184)</f>
        <v>27578.25</v>
      </c>
      <c r="K185" s="4"/>
    </row>
    <row r="186" spans="1:11">
      <c r="A186" s="11">
        <v>11</v>
      </c>
      <c r="B186" s="2" t="s">
        <v>112</v>
      </c>
      <c r="C186" s="10" t="s">
        <v>115</v>
      </c>
      <c r="D186" s="11">
        <v>613242</v>
      </c>
      <c r="E186" s="11" t="s">
        <v>125</v>
      </c>
      <c r="F186" s="2" t="s">
        <v>126</v>
      </c>
      <c r="G186" s="2" t="s">
        <v>12</v>
      </c>
      <c r="H186" s="21">
        <f>158+158</f>
        <v>316</v>
      </c>
      <c r="I186" s="3">
        <f>33.25</f>
        <v>33.25</v>
      </c>
      <c r="J186" s="9">
        <f>H186*I186</f>
        <v>10507</v>
      </c>
      <c r="K186" s="2"/>
    </row>
    <row r="187" spans="1:11">
      <c r="A187" s="11"/>
      <c r="B187" s="2" t="s">
        <v>112</v>
      </c>
      <c r="C187" s="10" t="s">
        <v>115</v>
      </c>
      <c r="D187" s="11">
        <v>611021</v>
      </c>
      <c r="E187" s="11" t="s">
        <v>11</v>
      </c>
      <c r="F187" s="2" t="s">
        <v>162</v>
      </c>
      <c r="G187" s="2" t="s">
        <v>12</v>
      </c>
      <c r="H187" s="21">
        <v>20</v>
      </c>
      <c r="I187" s="3">
        <v>116.27</v>
      </c>
      <c r="J187" s="9">
        <f t="shared" ref="J187:J198" si="11">H187*I187</f>
        <v>2325.4</v>
      </c>
      <c r="K187" s="2"/>
    </row>
    <row r="188" spans="1:11">
      <c r="A188" s="11"/>
      <c r="B188" s="2" t="s">
        <v>112</v>
      </c>
      <c r="C188" s="10" t="s">
        <v>115</v>
      </c>
      <c r="D188" s="11">
        <v>611021</v>
      </c>
      <c r="E188" s="11" t="s">
        <v>11</v>
      </c>
      <c r="F188" s="2" t="s">
        <v>163</v>
      </c>
      <c r="G188" s="2" t="s">
        <v>12</v>
      </c>
      <c r="H188" s="21">
        <v>3</v>
      </c>
      <c r="I188" s="3">
        <v>425</v>
      </c>
      <c r="J188" s="9">
        <f t="shared" si="11"/>
        <v>1275</v>
      </c>
      <c r="K188" s="2"/>
    </row>
    <row r="189" spans="1:11">
      <c r="A189" s="11"/>
      <c r="B189" s="2" t="s">
        <v>112</v>
      </c>
      <c r="C189" s="10" t="s">
        <v>127</v>
      </c>
      <c r="D189" s="11">
        <v>611021</v>
      </c>
      <c r="E189" s="11">
        <v>1113</v>
      </c>
      <c r="F189" s="2" t="s">
        <v>135</v>
      </c>
      <c r="G189" s="2" t="s">
        <v>12</v>
      </c>
      <c r="H189" s="21">
        <v>7</v>
      </c>
      <c r="I189" s="3">
        <v>2430</v>
      </c>
      <c r="J189" s="9">
        <f t="shared" si="11"/>
        <v>17010</v>
      </c>
      <c r="K189" s="2"/>
    </row>
    <row r="190" spans="1:11">
      <c r="A190" s="11"/>
      <c r="B190" s="2" t="s">
        <v>112</v>
      </c>
      <c r="C190" s="10" t="s">
        <v>127</v>
      </c>
      <c r="D190" s="11">
        <v>613242</v>
      </c>
      <c r="E190" s="11" t="s">
        <v>134</v>
      </c>
      <c r="F190" s="2" t="s">
        <v>128</v>
      </c>
      <c r="G190" s="2" t="s">
        <v>12</v>
      </c>
      <c r="H190" s="23">
        <v>58</v>
      </c>
      <c r="I190" s="9">
        <v>17.649999999999999</v>
      </c>
      <c r="J190" s="9">
        <f t="shared" si="11"/>
        <v>1023.6999999999999</v>
      </c>
      <c r="K190" s="2"/>
    </row>
    <row r="191" spans="1:11">
      <c r="A191" s="11"/>
      <c r="B191" s="2" t="s">
        <v>112</v>
      </c>
      <c r="C191" s="10" t="s">
        <v>127</v>
      </c>
      <c r="D191" s="11">
        <v>613242</v>
      </c>
      <c r="E191" s="11" t="s">
        <v>134</v>
      </c>
      <c r="F191" s="2" t="s">
        <v>130</v>
      </c>
      <c r="G191" s="2" t="s">
        <v>12</v>
      </c>
      <c r="H191" s="23">
        <v>1</v>
      </c>
      <c r="I191" s="9">
        <v>58</v>
      </c>
      <c r="J191" s="9">
        <f t="shared" si="11"/>
        <v>58</v>
      </c>
      <c r="K191" s="2"/>
    </row>
    <row r="192" spans="1:11">
      <c r="A192" s="11"/>
      <c r="B192" s="2" t="s">
        <v>112</v>
      </c>
      <c r="C192" s="10" t="s">
        <v>127</v>
      </c>
      <c r="D192" s="11">
        <v>613242</v>
      </c>
      <c r="E192" s="11" t="s">
        <v>134</v>
      </c>
      <c r="F192" s="2" t="s">
        <v>131</v>
      </c>
      <c r="G192" s="2" t="s">
        <v>12</v>
      </c>
      <c r="H192" s="23">
        <v>120</v>
      </c>
      <c r="I192" s="9">
        <v>5.4</v>
      </c>
      <c r="J192" s="9">
        <f t="shared" si="11"/>
        <v>648</v>
      </c>
      <c r="K192" s="2"/>
    </row>
    <row r="193" spans="1:13">
      <c r="A193" s="11"/>
      <c r="B193" s="2" t="s">
        <v>112</v>
      </c>
      <c r="C193" s="10" t="s">
        <v>127</v>
      </c>
      <c r="D193" s="11">
        <v>613242</v>
      </c>
      <c r="E193" s="11" t="s">
        <v>134</v>
      </c>
      <c r="F193" s="2" t="s">
        <v>132</v>
      </c>
      <c r="G193" s="2" t="s">
        <v>12</v>
      </c>
      <c r="H193" s="23">
        <v>40</v>
      </c>
      <c r="I193" s="9">
        <v>3.7</v>
      </c>
      <c r="J193" s="9">
        <f t="shared" si="11"/>
        <v>148</v>
      </c>
      <c r="K193" s="2"/>
    </row>
    <row r="194" spans="1:13">
      <c r="A194" s="11"/>
      <c r="B194" s="2" t="s">
        <v>112</v>
      </c>
      <c r="C194" s="10" t="s">
        <v>127</v>
      </c>
      <c r="D194" s="11">
        <v>611021</v>
      </c>
      <c r="E194" s="11">
        <v>1113</v>
      </c>
      <c r="F194" s="2" t="s">
        <v>133</v>
      </c>
      <c r="G194" s="2" t="s">
        <v>12</v>
      </c>
      <c r="H194" s="23">
        <v>2</v>
      </c>
      <c r="I194" s="9">
        <v>270</v>
      </c>
      <c r="J194" s="9">
        <f t="shared" si="11"/>
        <v>540</v>
      </c>
      <c r="K194" s="2"/>
    </row>
    <row r="195" spans="1:13">
      <c r="A195" s="11"/>
      <c r="B195" s="2" t="s">
        <v>112</v>
      </c>
      <c r="C195" s="10" t="s">
        <v>137</v>
      </c>
      <c r="D195" s="11">
        <v>611021</v>
      </c>
      <c r="E195" s="11">
        <v>1113</v>
      </c>
      <c r="F195" s="2" t="s">
        <v>153</v>
      </c>
      <c r="G195" s="2" t="s">
        <v>12</v>
      </c>
      <c r="H195" s="23">
        <v>20</v>
      </c>
      <c r="I195" s="9">
        <v>250</v>
      </c>
      <c r="J195" s="9">
        <f t="shared" si="11"/>
        <v>5000</v>
      </c>
      <c r="K195" s="2"/>
    </row>
    <row r="196" spans="1:13">
      <c r="A196" s="11"/>
      <c r="B196" s="2" t="s">
        <v>112</v>
      </c>
      <c r="C196" s="10" t="s">
        <v>137</v>
      </c>
      <c r="D196" s="11">
        <v>611021</v>
      </c>
      <c r="E196" s="11">
        <v>1113</v>
      </c>
      <c r="F196" s="2" t="s">
        <v>139</v>
      </c>
      <c r="G196" s="2" t="s">
        <v>12</v>
      </c>
      <c r="H196" s="23">
        <v>10</v>
      </c>
      <c r="I196" s="9">
        <v>3674</v>
      </c>
      <c r="J196" s="9">
        <f t="shared" si="11"/>
        <v>36740</v>
      </c>
      <c r="K196" s="2"/>
    </row>
    <row r="197" spans="1:13">
      <c r="A197" s="11"/>
      <c r="B197" s="2" t="s">
        <v>112</v>
      </c>
      <c r="C197" s="10" t="s">
        <v>137</v>
      </c>
      <c r="D197" s="11">
        <v>611021</v>
      </c>
      <c r="E197" s="11">
        <v>1113</v>
      </c>
      <c r="F197" s="2" t="s">
        <v>140</v>
      </c>
      <c r="G197" s="2" t="s">
        <v>12</v>
      </c>
      <c r="H197" s="23">
        <v>2</v>
      </c>
      <c r="I197" s="9">
        <v>2499</v>
      </c>
      <c r="J197" s="9">
        <f t="shared" si="11"/>
        <v>4998</v>
      </c>
      <c r="K197" s="2"/>
    </row>
    <row r="198" spans="1:13">
      <c r="A198" s="11"/>
      <c r="B198" s="2" t="s">
        <v>112</v>
      </c>
      <c r="C198" s="10" t="s">
        <v>137</v>
      </c>
      <c r="D198" s="11">
        <v>611021</v>
      </c>
      <c r="E198" s="11">
        <v>1113</v>
      </c>
      <c r="F198" s="2" t="s">
        <v>141</v>
      </c>
      <c r="G198" s="2" t="s">
        <v>12</v>
      </c>
      <c r="H198" s="23">
        <v>10</v>
      </c>
      <c r="I198" s="9">
        <v>279.3</v>
      </c>
      <c r="J198" s="9">
        <f t="shared" si="11"/>
        <v>2793</v>
      </c>
      <c r="K198" s="2"/>
    </row>
    <row r="199" spans="1:13">
      <c r="A199" s="11"/>
      <c r="B199" s="2" t="s">
        <v>112</v>
      </c>
      <c r="C199" s="10" t="s">
        <v>158</v>
      </c>
      <c r="D199" s="11">
        <v>611021</v>
      </c>
      <c r="E199" s="11">
        <v>1514</v>
      </c>
      <c r="F199" s="2" t="s">
        <v>148</v>
      </c>
      <c r="G199" s="2" t="s">
        <v>146</v>
      </c>
      <c r="H199" s="23" t="s">
        <v>154</v>
      </c>
      <c r="I199" s="9"/>
      <c r="J199" s="9">
        <v>2611.69</v>
      </c>
      <c r="K199" s="2"/>
    </row>
    <row r="200" spans="1:13">
      <c r="A200" s="11"/>
      <c r="B200" s="2" t="s">
        <v>112</v>
      </c>
      <c r="C200" s="10" t="s">
        <v>150</v>
      </c>
      <c r="D200" s="11">
        <v>611021</v>
      </c>
      <c r="E200" s="11">
        <v>1514</v>
      </c>
      <c r="F200" s="2" t="s">
        <v>148</v>
      </c>
      <c r="G200" s="2" t="s">
        <v>146</v>
      </c>
      <c r="H200" s="23" t="s">
        <v>151</v>
      </c>
      <c r="I200" s="9"/>
      <c r="J200" s="9">
        <v>1280.45</v>
      </c>
      <c r="K200" s="2"/>
    </row>
    <row r="201" spans="1:13" ht="30">
      <c r="A201" s="11"/>
      <c r="B201" s="2" t="s">
        <v>112</v>
      </c>
      <c r="C201" s="10" t="s">
        <v>166</v>
      </c>
      <c r="D201" s="11">
        <v>617520</v>
      </c>
      <c r="E201" s="11">
        <v>1113</v>
      </c>
      <c r="F201" s="2" t="s">
        <v>167</v>
      </c>
      <c r="G201" s="2" t="s">
        <v>12</v>
      </c>
      <c r="H201" s="21">
        <v>3</v>
      </c>
      <c r="I201" s="3">
        <v>9192.75</v>
      </c>
      <c r="J201" s="3">
        <f>H201*I201</f>
        <v>27578.25</v>
      </c>
      <c r="K201" s="2"/>
    </row>
    <row r="202" spans="1:13">
      <c r="A202" s="12"/>
      <c r="B202" s="4"/>
      <c r="C202" s="17"/>
      <c r="D202" s="12"/>
      <c r="E202" s="12"/>
      <c r="F202" s="4" t="s">
        <v>14</v>
      </c>
      <c r="G202" s="4"/>
      <c r="H202" s="22"/>
      <c r="I202" s="5"/>
      <c r="J202" s="5">
        <f>SUM(J186:J201)</f>
        <v>114536.49</v>
      </c>
      <c r="K202" s="4"/>
    </row>
    <row r="203" spans="1:13" ht="30">
      <c r="A203" s="19"/>
      <c r="B203" s="8" t="s">
        <v>54</v>
      </c>
      <c r="C203" s="10" t="s">
        <v>166</v>
      </c>
      <c r="D203" s="11">
        <v>617520</v>
      </c>
      <c r="E203" s="11">
        <v>1113</v>
      </c>
      <c r="F203" s="2" t="s">
        <v>167</v>
      </c>
      <c r="G203" s="2" t="s">
        <v>12</v>
      </c>
      <c r="H203" s="21">
        <v>1</v>
      </c>
      <c r="I203" s="3">
        <v>9192.75</v>
      </c>
      <c r="J203" s="3">
        <f>H203*I203</f>
        <v>9192.75</v>
      </c>
      <c r="K203" s="8"/>
    </row>
    <row r="204" spans="1:13">
      <c r="A204" s="12"/>
      <c r="B204" s="4"/>
      <c r="C204" s="17"/>
      <c r="D204" s="12"/>
      <c r="E204" s="12"/>
      <c r="F204" s="4" t="s">
        <v>14</v>
      </c>
      <c r="G204" s="4"/>
      <c r="H204" s="22"/>
      <c r="I204" s="5"/>
      <c r="J204" s="5">
        <f>SUM(J203)</f>
        <v>9192.75</v>
      </c>
      <c r="K204" s="4"/>
      <c r="L204" s="1">
        <f>J203+J201+J184+J182+J180+J165+J163+J161+J144+J128+J115+J113+J93+J91+J89+J87+J72+J57+J55+J53+J47+J32+J30</f>
        <v>680263.5</v>
      </c>
      <c r="M204" t="s">
        <v>340</v>
      </c>
    </row>
    <row r="205" spans="1:13">
      <c r="A205" s="177" t="s">
        <v>76</v>
      </c>
      <c r="B205" s="178"/>
      <c r="C205" s="14"/>
      <c r="D205" s="16"/>
      <c r="E205" s="16"/>
      <c r="F205" s="14"/>
      <c r="G205" s="14"/>
      <c r="H205" s="24"/>
      <c r="I205" s="15"/>
      <c r="J205" s="15">
        <f>J204+J202+J185+J183+J181+J166+J164+J162+J145+J129+J116+J114+J94+J92+J90+J88+J73+J58+J56+J54+J48+J33+J31</f>
        <v>1525222.4580000001</v>
      </c>
      <c r="K205" s="14"/>
      <c r="L205" s="1">
        <f>L204+J206</f>
        <v>753805.5</v>
      </c>
      <c r="M205" t="s">
        <v>341</v>
      </c>
    </row>
    <row r="206" spans="1:13" ht="30">
      <c r="A206" s="19"/>
      <c r="B206" s="8" t="s">
        <v>113</v>
      </c>
      <c r="C206" s="10" t="s">
        <v>166</v>
      </c>
      <c r="D206" s="11">
        <v>617520</v>
      </c>
      <c r="E206" s="11">
        <v>1113</v>
      </c>
      <c r="F206" s="2" t="s">
        <v>167</v>
      </c>
      <c r="G206" s="2" t="s">
        <v>12</v>
      </c>
      <c r="H206" s="21">
        <v>8</v>
      </c>
      <c r="I206" s="9">
        <v>9192.75</v>
      </c>
      <c r="J206" s="9">
        <f>H206*I206</f>
        <v>73542</v>
      </c>
      <c r="K206" s="8"/>
    </row>
    <row r="207" spans="1:13">
      <c r="A207" s="12"/>
      <c r="B207" s="4"/>
      <c r="C207" s="4"/>
      <c r="D207" s="12"/>
      <c r="E207" s="12"/>
      <c r="F207" s="4"/>
      <c r="G207" s="4"/>
      <c r="H207" s="22"/>
      <c r="I207" s="5"/>
      <c r="J207" s="15">
        <f>SUM(J206)</f>
        <v>73542</v>
      </c>
      <c r="K207" s="4"/>
    </row>
    <row r="208" spans="1:13">
      <c r="A208" s="16"/>
      <c r="B208" s="14"/>
      <c r="C208" s="14" t="s">
        <v>307</v>
      </c>
      <c r="D208" s="16"/>
      <c r="E208" s="16"/>
      <c r="F208" s="14"/>
      <c r="G208" s="14"/>
      <c r="H208" s="24"/>
      <c r="I208" s="15"/>
      <c r="J208" s="13">
        <f>J207+J205</f>
        <v>1598764.4580000001</v>
      </c>
      <c r="K208" s="14"/>
    </row>
    <row r="209" spans="2:10">
      <c r="J209" s="1">
        <f>1598764.46</f>
        <v>1598764.46</v>
      </c>
    </row>
    <row r="210" spans="2:10">
      <c r="B210" t="s">
        <v>77</v>
      </c>
    </row>
  </sheetData>
  <mergeCells count="2">
    <mergeCell ref="A1:K1"/>
    <mergeCell ref="A205:B205"/>
  </mergeCells>
  <pageMargins left="0.70866141732283472" right="0.70866141732283472" top="0.2" bottom="0.2" header="0.31496062992125984" footer="0.31496062992125984"/>
  <pageSetup paperSize="9" scale="64" orientation="landscape" verticalDpi="0" r:id="rId1"/>
  <rowBreaks count="3" manualBreakCount="3">
    <brk id="54" max="16383" man="1"/>
    <brk id="107" max="14" man="1"/>
    <brk id="162" max="14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O408"/>
  <sheetViews>
    <sheetView view="pageBreakPreview" topLeftCell="A338" zoomScale="89" zoomScaleSheetLayoutView="89" workbookViewId="0">
      <selection activeCell="F360" sqref="F360"/>
    </sheetView>
  </sheetViews>
  <sheetFormatPr defaultRowHeight="15"/>
  <cols>
    <col min="1" max="1" width="9.85546875" style="27" customWidth="1"/>
    <col min="2" max="2" width="13.5703125" customWidth="1"/>
    <col min="3" max="3" width="31.7109375" customWidth="1"/>
    <col min="4" max="4" width="12.28515625" style="27" customWidth="1"/>
    <col min="5" max="5" width="13.42578125" style="27" customWidth="1"/>
    <col min="6" max="6" width="37" customWidth="1"/>
    <col min="8" max="8" width="9.140625" style="25"/>
    <col min="9" max="9" width="12" style="1" customWidth="1"/>
    <col min="10" max="10" width="13.85546875" style="1" customWidth="1"/>
    <col min="12" max="12" width="20.7109375" customWidth="1"/>
  </cols>
  <sheetData>
    <row r="1" spans="1:11" ht="18.75">
      <c r="A1" s="174" t="s">
        <v>169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>
      <c r="A2" s="20" t="s">
        <v>0</v>
      </c>
      <c r="B2" s="2" t="s">
        <v>1</v>
      </c>
      <c r="C2" s="2" t="s">
        <v>2</v>
      </c>
      <c r="D2" s="11" t="s">
        <v>66</v>
      </c>
      <c r="E2" s="11" t="s">
        <v>4</v>
      </c>
      <c r="F2" s="2" t="s">
        <v>5</v>
      </c>
      <c r="G2" s="2" t="s">
        <v>6</v>
      </c>
      <c r="H2" s="21" t="s">
        <v>7</v>
      </c>
      <c r="I2" s="3" t="s">
        <v>8</v>
      </c>
      <c r="J2" s="3" t="s">
        <v>9</v>
      </c>
      <c r="K2" s="2" t="s">
        <v>67</v>
      </c>
    </row>
    <row r="3" spans="1:11">
      <c r="A3" s="20">
        <v>1</v>
      </c>
      <c r="B3" s="2" t="s">
        <v>170</v>
      </c>
      <c r="C3" s="10" t="s">
        <v>115</v>
      </c>
      <c r="D3" s="11">
        <v>611010</v>
      </c>
      <c r="E3" s="11">
        <v>1113</v>
      </c>
      <c r="F3" s="2" t="s">
        <v>171</v>
      </c>
      <c r="G3" s="2" t="s">
        <v>12</v>
      </c>
      <c r="H3" s="21">
        <v>1</v>
      </c>
      <c r="I3" s="3">
        <v>5046.66</v>
      </c>
      <c r="J3" s="3">
        <f>H3*I3</f>
        <v>5046.66</v>
      </c>
      <c r="K3" s="2"/>
    </row>
    <row r="4" spans="1:11">
      <c r="A4" s="28"/>
      <c r="B4" s="4"/>
      <c r="C4" s="4"/>
      <c r="D4" s="12"/>
      <c r="E4" s="12"/>
      <c r="F4" s="4"/>
      <c r="G4" s="4"/>
      <c r="H4" s="22"/>
      <c r="I4" s="5"/>
      <c r="J4" s="5">
        <f>SUM(J3)</f>
        <v>5046.66</v>
      </c>
      <c r="K4" s="4"/>
    </row>
    <row r="5" spans="1:11">
      <c r="A5" s="20">
        <v>1</v>
      </c>
      <c r="B5" s="2" t="s">
        <v>172</v>
      </c>
      <c r="C5" s="10" t="s">
        <v>115</v>
      </c>
      <c r="D5" s="11">
        <v>611010</v>
      </c>
      <c r="E5" s="11">
        <v>1113</v>
      </c>
      <c r="F5" s="2" t="s">
        <v>171</v>
      </c>
      <c r="G5" s="2" t="s">
        <v>12</v>
      </c>
      <c r="H5" s="21">
        <v>2</v>
      </c>
      <c r="I5" s="3">
        <v>5046.66</v>
      </c>
      <c r="J5" s="3">
        <f>H5*I5</f>
        <v>10093.32</v>
      </c>
      <c r="K5" s="2"/>
    </row>
    <row r="6" spans="1:11">
      <c r="A6" s="28"/>
      <c r="B6" s="4"/>
      <c r="C6" s="4"/>
      <c r="D6" s="12"/>
      <c r="E6" s="12"/>
      <c r="F6" s="4"/>
      <c r="G6" s="4"/>
      <c r="H6" s="22"/>
      <c r="I6" s="5"/>
      <c r="J6" s="5">
        <f>SUM(J5)</f>
        <v>10093.32</v>
      </c>
      <c r="K6" s="4"/>
    </row>
    <row r="7" spans="1:11">
      <c r="A7" s="28"/>
      <c r="B7" s="4"/>
      <c r="C7" s="4"/>
      <c r="D7" s="12"/>
      <c r="E7" s="12"/>
      <c r="F7" s="4" t="s">
        <v>308</v>
      </c>
      <c r="G7" s="4"/>
      <c r="H7" s="22"/>
      <c r="I7" s="5"/>
      <c r="J7" s="5">
        <f>J6+J4</f>
        <v>15139.98</v>
      </c>
      <c r="K7" s="4"/>
    </row>
    <row r="8" spans="1:11">
      <c r="A8" s="11">
        <v>1</v>
      </c>
      <c r="B8" s="2" t="s">
        <v>68</v>
      </c>
      <c r="C8" s="10" t="s">
        <v>115</v>
      </c>
      <c r="D8" s="11">
        <v>611021</v>
      </c>
      <c r="E8" s="11">
        <v>1113</v>
      </c>
      <c r="F8" s="2" t="s">
        <v>194</v>
      </c>
      <c r="G8" s="2" t="s">
        <v>12</v>
      </c>
      <c r="H8" s="21">
        <v>3</v>
      </c>
      <c r="I8" s="3">
        <f>1974.78</f>
        <v>1974.78</v>
      </c>
      <c r="J8" s="36">
        <f t="shared" ref="J8:J37" si="0">H8*I8</f>
        <v>5924.34</v>
      </c>
      <c r="K8" s="2"/>
    </row>
    <row r="9" spans="1:11">
      <c r="A9" s="11">
        <v>2</v>
      </c>
      <c r="B9" s="2" t="s">
        <v>68</v>
      </c>
      <c r="C9" s="10" t="s">
        <v>115</v>
      </c>
      <c r="D9" s="11">
        <v>611021</v>
      </c>
      <c r="E9" s="11">
        <v>1113</v>
      </c>
      <c r="F9" s="2" t="s">
        <v>171</v>
      </c>
      <c r="G9" s="2" t="s">
        <v>12</v>
      </c>
      <c r="H9" s="21">
        <v>2</v>
      </c>
      <c r="I9" s="3">
        <v>5046.66</v>
      </c>
      <c r="J9" s="36">
        <f t="shared" si="0"/>
        <v>10093.32</v>
      </c>
      <c r="K9" s="2"/>
    </row>
    <row r="10" spans="1:11">
      <c r="A10" s="11">
        <v>3</v>
      </c>
      <c r="B10" s="2" t="s">
        <v>68</v>
      </c>
      <c r="C10" s="10" t="s">
        <v>115</v>
      </c>
      <c r="D10" s="11">
        <v>611021</v>
      </c>
      <c r="E10" s="11">
        <v>1113</v>
      </c>
      <c r="F10" s="2" t="s">
        <v>212</v>
      </c>
      <c r="G10" s="2" t="s">
        <v>12</v>
      </c>
      <c r="H10" s="21">
        <v>4</v>
      </c>
      <c r="I10" s="3">
        <v>682.4</v>
      </c>
      <c r="J10" s="36">
        <f t="shared" si="0"/>
        <v>2729.6</v>
      </c>
      <c r="K10" s="2"/>
    </row>
    <row r="11" spans="1:11">
      <c r="A11" s="11">
        <v>4</v>
      </c>
      <c r="B11" s="2" t="s">
        <v>68</v>
      </c>
      <c r="C11" s="10" t="s">
        <v>115</v>
      </c>
      <c r="D11" s="11">
        <v>613242</v>
      </c>
      <c r="E11" s="11">
        <v>1114</v>
      </c>
      <c r="F11" s="2" t="s">
        <v>101</v>
      </c>
      <c r="G11" s="2" t="s">
        <v>12</v>
      </c>
      <c r="H11" s="21">
        <v>31</v>
      </c>
      <c r="I11" s="3">
        <v>1073</v>
      </c>
      <c r="J11" s="36">
        <f t="shared" si="0"/>
        <v>33263</v>
      </c>
      <c r="K11" s="2"/>
    </row>
    <row r="12" spans="1:11">
      <c r="A12" s="11">
        <v>5</v>
      </c>
      <c r="B12" s="2" t="s">
        <v>68</v>
      </c>
      <c r="C12" s="10" t="s">
        <v>127</v>
      </c>
      <c r="D12" s="11">
        <v>613242</v>
      </c>
      <c r="E12" s="11" t="s">
        <v>11</v>
      </c>
      <c r="F12" s="2" t="s">
        <v>190</v>
      </c>
      <c r="G12" s="2" t="s">
        <v>12</v>
      </c>
      <c r="H12" s="21">
        <v>16</v>
      </c>
      <c r="I12" s="3">
        <v>25</v>
      </c>
      <c r="J12" s="36">
        <f t="shared" si="0"/>
        <v>400</v>
      </c>
      <c r="K12" s="2"/>
    </row>
    <row r="13" spans="1:11">
      <c r="A13" s="11">
        <v>6</v>
      </c>
      <c r="B13" s="2" t="s">
        <v>68</v>
      </c>
      <c r="C13" s="10" t="s">
        <v>127</v>
      </c>
      <c r="D13" s="11">
        <v>613242</v>
      </c>
      <c r="E13" s="11" t="s">
        <v>11</v>
      </c>
      <c r="F13" s="2" t="s">
        <v>187</v>
      </c>
      <c r="G13" s="2" t="s">
        <v>12</v>
      </c>
      <c r="H13" s="21">
        <v>4</v>
      </c>
      <c r="I13" s="3">
        <v>269</v>
      </c>
      <c r="J13" s="36">
        <f t="shared" si="0"/>
        <v>1076</v>
      </c>
      <c r="K13" s="2"/>
    </row>
    <row r="14" spans="1:11">
      <c r="A14" s="11">
        <v>7</v>
      </c>
      <c r="B14" s="2" t="s">
        <v>68</v>
      </c>
      <c r="C14" s="10" t="s">
        <v>127</v>
      </c>
      <c r="D14" s="11">
        <v>613242</v>
      </c>
      <c r="E14" s="11" t="s">
        <v>11</v>
      </c>
      <c r="F14" s="2" t="s">
        <v>256</v>
      </c>
      <c r="G14" s="2" t="s">
        <v>12</v>
      </c>
      <c r="H14" s="21">
        <v>10</v>
      </c>
      <c r="I14" s="3">
        <v>45.5</v>
      </c>
      <c r="J14" s="36">
        <f t="shared" si="0"/>
        <v>455</v>
      </c>
      <c r="K14" s="2"/>
    </row>
    <row r="15" spans="1:11">
      <c r="A15" s="11">
        <v>8</v>
      </c>
      <c r="B15" s="2" t="s">
        <v>68</v>
      </c>
      <c r="C15" s="10" t="s">
        <v>127</v>
      </c>
      <c r="D15" s="11">
        <v>613242</v>
      </c>
      <c r="E15" s="11">
        <v>1114</v>
      </c>
      <c r="F15" s="2" t="s">
        <v>200</v>
      </c>
      <c r="G15" s="2" t="s">
        <v>12</v>
      </c>
      <c r="H15" s="21">
        <v>11</v>
      </c>
      <c r="I15" s="3">
        <v>80</v>
      </c>
      <c r="J15" s="36">
        <f t="shared" si="0"/>
        <v>880</v>
      </c>
      <c r="K15" s="2"/>
    </row>
    <row r="16" spans="1:11">
      <c r="A16" s="11">
        <v>9</v>
      </c>
      <c r="B16" s="2" t="s">
        <v>68</v>
      </c>
      <c r="C16" s="10" t="s">
        <v>127</v>
      </c>
      <c r="D16" s="11">
        <v>613242</v>
      </c>
      <c r="E16" s="11" t="s">
        <v>11</v>
      </c>
      <c r="F16" s="2" t="s">
        <v>45</v>
      </c>
      <c r="G16" s="2" t="s">
        <v>12</v>
      </c>
      <c r="H16" s="21">
        <v>5</v>
      </c>
      <c r="I16" s="3">
        <v>40</v>
      </c>
      <c r="J16" s="36">
        <f t="shared" si="0"/>
        <v>200</v>
      </c>
      <c r="K16" s="2"/>
    </row>
    <row r="17" spans="1:15">
      <c r="A17" s="11">
        <v>10</v>
      </c>
      <c r="B17" s="2" t="s">
        <v>68</v>
      </c>
      <c r="C17" s="10" t="s">
        <v>127</v>
      </c>
      <c r="D17" s="11">
        <v>613242</v>
      </c>
      <c r="E17" s="11" t="s">
        <v>125</v>
      </c>
      <c r="F17" s="2" t="s">
        <v>201</v>
      </c>
      <c r="G17" s="2" t="s">
        <v>12</v>
      </c>
      <c r="H17" s="21">
        <v>2</v>
      </c>
      <c r="I17" s="3">
        <v>279</v>
      </c>
      <c r="J17" s="36">
        <f t="shared" si="0"/>
        <v>558</v>
      </c>
      <c r="K17" s="2"/>
    </row>
    <row r="18" spans="1:15">
      <c r="A18" s="11">
        <v>11</v>
      </c>
      <c r="B18" s="2" t="s">
        <v>68</v>
      </c>
      <c r="C18" s="10" t="s">
        <v>127</v>
      </c>
      <c r="D18" s="11">
        <v>613242</v>
      </c>
      <c r="E18" s="11" t="s">
        <v>134</v>
      </c>
      <c r="F18" s="2" t="s">
        <v>109</v>
      </c>
      <c r="G18" s="2" t="s">
        <v>12</v>
      </c>
      <c r="H18" s="21">
        <v>10</v>
      </c>
      <c r="I18" s="3">
        <v>49</v>
      </c>
      <c r="J18" s="36">
        <f t="shared" si="0"/>
        <v>490</v>
      </c>
      <c r="K18" s="2"/>
    </row>
    <row r="19" spans="1:15">
      <c r="A19" s="11">
        <v>12</v>
      </c>
      <c r="B19" s="2" t="s">
        <v>68</v>
      </c>
      <c r="C19" s="10" t="s">
        <v>127</v>
      </c>
      <c r="D19" s="11">
        <v>613242</v>
      </c>
      <c r="E19" s="11" t="s">
        <v>134</v>
      </c>
      <c r="F19" s="2" t="s">
        <v>111</v>
      </c>
      <c r="G19" s="2" t="s">
        <v>12</v>
      </c>
      <c r="H19" s="21">
        <v>30</v>
      </c>
      <c r="I19" s="3">
        <v>36</v>
      </c>
      <c r="J19" s="36">
        <f t="shared" si="0"/>
        <v>1080</v>
      </c>
      <c r="K19" s="2"/>
    </row>
    <row r="20" spans="1:15">
      <c r="A20" s="11">
        <v>13</v>
      </c>
      <c r="B20" s="2" t="s">
        <v>68</v>
      </c>
      <c r="C20" s="10" t="s">
        <v>127</v>
      </c>
      <c r="D20" s="11">
        <v>613242</v>
      </c>
      <c r="E20" s="11" t="s">
        <v>134</v>
      </c>
      <c r="F20" s="2" t="s">
        <v>22</v>
      </c>
      <c r="G20" s="2" t="s">
        <v>12</v>
      </c>
      <c r="H20" s="21">
        <v>33</v>
      </c>
      <c r="I20" s="3">
        <v>11</v>
      </c>
      <c r="J20" s="36">
        <f t="shared" si="0"/>
        <v>363</v>
      </c>
      <c r="K20" s="2"/>
      <c r="O20" s="11"/>
    </row>
    <row r="21" spans="1:15">
      <c r="A21" s="11">
        <v>14</v>
      </c>
      <c r="B21" s="2" t="s">
        <v>68</v>
      </c>
      <c r="C21" s="10" t="s">
        <v>127</v>
      </c>
      <c r="D21" s="11">
        <v>613242</v>
      </c>
      <c r="E21" s="11" t="s">
        <v>134</v>
      </c>
      <c r="F21" s="2" t="s">
        <v>257</v>
      </c>
      <c r="G21" s="2" t="s">
        <v>12</v>
      </c>
      <c r="H21" s="21">
        <v>2</v>
      </c>
      <c r="I21" s="3">
        <v>88</v>
      </c>
      <c r="J21" s="36">
        <f t="shared" si="0"/>
        <v>176</v>
      </c>
      <c r="K21" s="2"/>
    </row>
    <row r="22" spans="1:15">
      <c r="A22" s="11">
        <v>15</v>
      </c>
      <c r="B22" s="2" t="s">
        <v>68</v>
      </c>
      <c r="C22" s="10" t="s">
        <v>127</v>
      </c>
      <c r="D22" s="11">
        <v>613242</v>
      </c>
      <c r="E22" s="11" t="s">
        <v>134</v>
      </c>
      <c r="F22" s="2" t="s">
        <v>206</v>
      </c>
      <c r="G22" s="2" t="s">
        <v>12</v>
      </c>
      <c r="H22" s="21">
        <v>24</v>
      </c>
      <c r="I22" s="3">
        <v>24</v>
      </c>
      <c r="J22" s="36">
        <f t="shared" si="0"/>
        <v>576</v>
      </c>
      <c r="K22" s="2"/>
    </row>
    <row r="23" spans="1:15">
      <c r="A23" s="11">
        <v>16</v>
      </c>
      <c r="B23" s="2" t="s">
        <v>68</v>
      </c>
      <c r="C23" s="10" t="s">
        <v>127</v>
      </c>
      <c r="D23" s="11">
        <v>613242</v>
      </c>
      <c r="E23" s="11" t="s">
        <v>125</v>
      </c>
      <c r="F23" s="2" t="s">
        <v>223</v>
      </c>
      <c r="G23" s="2" t="s">
        <v>12</v>
      </c>
      <c r="H23" s="21">
        <v>10</v>
      </c>
      <c r="I23" s="3">
        <v>16.3</v>
      </c>
      <c r="J23" s="36">
        <f t="shared" si="0"/>
        <v>163</v>
      </c>
      <c r="K23" s="2"/>
    </row>
    <row r="24" spans="1:15">
      <c r="A24" s="11">
        <v>17</v>
      </c>
      <c r="B24" s="2" t="s">
        <v>68</v>
      </c>
      <c r="C24" s="10" t="s">
        <v>127</v>
      </c>
      <c r="D24" s="11">
        <v>613242</v>
      </c>
      <c r="E24" s="11" t="s">
        <v>125</v>
      </c>
      <c r="F24" s="2" t="s">
        <v>209</v>
      </c>
      <c r="G24" s="2" t="s">
        <v>12</v>
      </c>
      <c r="H24" s="21">
        <v>5</v>
      </c>
      <c r="I24" s="3">
        <v>230.5</v>
      </c>
      <c r="J24" s="36">
        <f t="shared" si="0"/>
        <v>1152.5</v>
      </c>
      <c r="K24" s="2"/>
    </row>
    <row r="25" spans="1:15">
      <c r="A25" s="11">
        <v>18</v>
      </c>
      <c r="B25" s="2" t="s">
        <v>68</v>
      </c>
      <c r="C25" s="10" t="s">
        <v>127</v>
      </c>
      <c r="D25" s="11">
        <v>613242</v>
      </c>
      <c r="E25" s="11">
        <v>1113</v>
      </c>
      <c r="F25" s="29" t="s">
        <v>220</v>
      </c>
      <c r="G25" s="2" t="s">
        <v>12</v>
      </c>
      <c r="H25" s="21">
        <v>2</v>
      </c>
      <c r="I25" s="3">
        <v>149</v>
      </c>
      <c r="J25" s="36">
        <f t="shared" si="0"/>
        <v>298</v>
      </c>
      <c r="K25" s="2"/>
    </row>
    <row r="26" spans="1:15">
      <c r="A26" s="11">
        <v>19</v>
      </c>
      <c r="B26" s="2" t="s">
        <v>68</v>
      </c>
      <c r="C26" s="10" t="s">
        <v>127</v>
      </c>
      <c r="D26" s="11">
        <v>613242</v>
      </c>
      <c r="E26" s="11" t="s">
        <v>134</v>
      </c>
      <c r="F26" s="2" t="s">
        <v>142</v>
      </c>
      <c r="G26" s="2" t="s">
        <v>12</v>
      </c>
      <c r="H26" s="21">
        <v>400</v>
      </c>
      <c r="I26" s="3">
        <v>1.2</v>
      </c>
      <c r="J26" s="36">
        <f t="shared" si="0"/>
        <v>480</v>
      </c>
      <c r="K26" s="2"/>
    </row>
    <row r="27" spans="1:15">
      <c r="A27" s="11">
        <v>20</v>
      </c>
      <c r="B27" s="2" t="s">
        <v>68</v>
      </c>
      <c r="C27" s="10" t="s">
        <v>127</v>
      </c>
      <c r="D27" s="11">
        <v>613242</v>
      </c>
      <c r="E27" s="11">
        <v>1512</v>
      </c>
      <c r="F27" s="2" t="s">
        <v>79</v>
      </c>
      <c r="G27" s="2" t="s">
        <v>12</v>
      </c>
      <c r="H27" s="21">
        <v>1</v>
      </c>
      <c r="I27" s="3">
        <v>179</v>
      </c>
      <c r="J27" s="36">
        <f t="shared" si="0"/>
        <v>179</v>
      </c>
      <c r="K27" s="2"/>
    </row>
    <row r="28" spans="1:15">
      <c r="A28" s="11">
        <v>21</v>
      </c>
      <c r="B28" s="2" t="s">
        <v>68</v>
      </c>
      <c r="C28" s="10" t="s">
        <v>127</v>
      </c>
      <c r="D28" s="11">
        <v>613242</v>
      </c>
      <c r="E28" s="11" t="s">
        <v>134</v>
      </c>
      <c r="F28" s="2" t="s">
        <v>202</v>
      </c>
      <c r="G28" s="2" t="s">
        <v>12</v>
      </c>
      <c r="H28" s="21">
        <v>300</v>
      </c>
      <c r="I28" s="3">
        <v>1</v>
      </c>
      <c r="J28" s="36">
        <f t="shared" si="0"/>
        <v>300</v>
      </c>
      <c r="K28" s="2"/>
    </row>
    <row r="29" spans="1:15">
      <c r="A29" s="11">
        <v>22</v>
      </c>
      <c r="B29" s="2" t="s">
        <v>68</v>
      </c>
      <c r="C29" s="10" t="s">
        <v>127</v>
      </c>
      <c r="D29" s="11">
        <v>613242</v>
      </c>
      <c r="E29" s="11" t="s">
        <v>134</v>
      </c>
      <c r="F29" s="2" t="s">
        <v>204</v>
      </c>
      <c r="G29" s="2" t="s">
        <v>12</v>
      </c>
      <c r="H29" s="21">
        <v>200</v>
      </c>
      <c r="I29" s="3">
        <v>1.5</v>
      </c>
      <c r="J29" s="36">
        <f t="shared" si="0"/>
        <v>300</v>
      </c>
      <c r="K29" s="2"/>
    </row>
    <row r="30" spans="1:15">
      <c r="A30" s="11">
        <v>23</v>
      </c>
      <c r="B30" s="2" t="s">
        <v>68</v>
      </c>
      <c r="C30" s="10" t="s">
        <v>127</v>
      </c>
      <c r="D30" s="11">
        <v>613242</v>
      </c>
      <c r="E30" s="11" t="s">
        <v>134</v>
      </c>
      <c r="F30" s="2" t="s">
        <v>207</v>
      </c>
      <c r="G30" s="2" t="s">
        <v>12</v>
      </c>
      <c r="H30" s="21">
        <v>10</v>
      </c>
      <c r="I30" s="3">
        <v>17.5</v>
      </c>
      <c r="J30" s="36">
        <f t="shared" si="0"/>
        <v>175</v>
      </c>
      <c r="K30" s="2"/>
    </row>
    <row r="31" spans="1:15">
      <c r="A31" s="11">
        <v>24</v>
      </c>
      <c r="B31" s="2" t="s">
        <v>68</v>
      </c>
      <c r="C31" s="10" t="s">
        <v>258</v>
      </c>
      <c r="D31" s="11">
        <v>611021</v>
      </c>
      <c r="E31" s="11">
        <v>1113</v>
      </c>
      <c r="F31" s="2" t="s">
        <v>259</v>
      </c>
      <c r="G31" s="2" t="s">
        <v>12</v>
      </c>
      <c r="H31" s="22">
        <v>5</v>
      </c>
      <c r="I31" s="3">
        <v>430</v>
      </c>
      <c r="J31" s="5">
        <f t="shared" si="0"/>
        <v>2150</v>
      </c>
      <c r="K31" s="2"/>
    </row>
    <row r="32" spans="1:15">
      <c r="A32" s="11">
        <v>25</v>
      </c>
      <c r="B32" s="2" t="s">
        <v>68</v>
      </c>
      <c r="C32" s="10" t="s">
        <v>258</v>
      </c>
      <c r="D32" s="11">
        <v>613242</v>
      </c>
      <c r="E32" s="11">
        <v>1113</v>
      </c>
      <c r="F32" s="2" t="s">
        <v>260</v>
      </c>
      <c r="G32" s="2" t="s">
        <v>12</v>
      </c>
      <c r="H32" s="22">
        <v>52</v>
      </c>
      <c r="I32" s="3">
        <v>670</v>
      </c>
      <c r="J32" s="5">
        <f t="shared" si="0"/>
        <v>34840</v>
      </c>
      <c r="K32" s="2"/>
    </row>
    <row r="33" spans="1:11">
      <c r="A33" s="11">
        <v>26</v>
      </c>
      <c r="B33" s="2" t="s">
        <v>68</v>
      </c>
      <c r="C33" s="10" t="s">
        <v>258</v>
      </c>
      <c r="D33" s="11">
        <v>611021</v>
      </c>
      <c r="E33" s="11">
        <v>1113</v>
      </c>
      <c r="F33" s="2" t="s">
        <v>261</v>
      </c>
      <c r="G33" s="2" t="s">
        <v>12</v>
      </c>
      <c r="H33" s="22">
        <v>3</v>
      </c>
      <c r="I33" s="3">
        <v>9800</v>
      </c>
      <c r="J33" s="5">
        <f t="shared" si="0"/>
        <v>29400</v>
      </c>
      <c r="K33" s="2"/>
    </row>
    <row r="34" spans="1:11">
      <c r="A34" s="11">
        <v>27</v>
      </c>
      <c r="B34" s="2" t="s">
        <v>68</v>
      </c>
      <c r="C34" s="10" t="s">
        <v>258</v>
      </c>
      <c r="D34" s="11">
        <v>611021</v>
      </c>
      <c r="E34" s="11">
        <v>1113</v>
      </c>
      <c r="F34" s="2" t="s">
        <v>58</v>
      </c>
      <c r="G34" s="2" t="s">
        <v>12</v>
      </c>
      <c r="H34" s="22">
        <v>4</v>
      </c>
      <c r="I34" s="3">
        <v>3250</v>
      </c>
      <c r="J34" s="5">
        <f t="shared" si="0"/>
        <v>13000</v>
      </c>
      <c r="K34" s="2"/>
    </row>
    <row r="35" spans="1:11">
      <c r="A35" s="11">
        <v>28</v>
      </c>
      <c r="B35" s="2" t="s">
        <v>68</v>
      </c>
      <c r="C35" s="10" t="s">
        <v>258</v>
      </c>
      <c r="D35" s="11">
        <v>611021</v>
      </c>
      <c r="E35" s="11">
        <v>1113</v>
      </c>
      <c r="F35" s="2" t="s">
        <v>262</v>
      </c>
      <c r="G35" s="2" t="s">
        <v>12</v>
      </c>
      <c r="H35" s="22">
        <v>30</v>
      </c>
      <c r="I35" s="3">
        <v>1485</v>
      </c>
      <c r="J35" s="5">
        <f t="shared" si="0"/>
        <v>44550</v>
      </c>
      <c r="K35" s="2"/>
    </row>
    <row r="36" spans="1:11">
      <c r="A36" s="11">
        <v>29</v>
      </c>
      <c r="B36" s="2" t="s">
        <v>68</v>
      </c>
      <c r="C36" s="10" t="s">
        <v>258</v>
      </c>
      <c r="D36" s="11">
        <v>611021</v>
      </c>
      <c r="E36" s="11">
        <v>1113</v>
      </c>
      <c r="F36" s="2" t="s">
        <v>263</v>
      </c>
      <c r="G36" s="2" t="s">
        <v>12</v>
      </c>
      <c r="H36" s="22">
        <v>1</v>
      </c>
      <c r="I36" s="3">
        <v>18900</v>
      </c>
      <c r="J36" s="5">
        <f t="shared" si="0"/>
        <v>18900</v>
      </c>
      <c r="K36" s="2"/>
    </row>
    <row r="37" spans="1:11" ht="29.25" customHeight="1">
      <c r="A37" s="11">
        <v>30</v>
      </c>
      <c r="B37" s="2" t="s">
        <v>68</v>
      </c>
      <c r="C37" s="10" t="s">
        <v>258</v>
      </c>
      <c r="D37" s="32" t="s">
        <v>267</v>
      </c>
      <c r="E37" s="11" t="s">
        <v>266</v>
      </c>
      <c r="F37" s="2" t="s">
        <v>264</v>
      </c>
      <c r="G37" s="2" t="s">
        <v>265</v>
      </c>
      <c r="H37" s="22">
        <v>3</v>
      </c>
      <c r="I37" s="3">
        <v>23105.759999999998</v>
      </c>
      <c r="J37" s="5">
        <f t="shared" si="0"/>
        <v>69317.279999999999</v>
      </c>
      <c r="K37" s="2"/>
    </row>
    <row r="38" spans="1:11">
      <c r="A38" s="11">
        <v>31</v>
      </c>
      <c r="B38" s="2" t="s">
        <v>68</v>
      </c>
      <c r="C38" s="10" t="s">
        <v>144</v>
      </c>
      <c r="D38" s="11">
        <v>611021</v>
      </c>
      <c r="E38" s="11">
        <v>1514</v>
      </c>
      <c r="F38" s="2" t="s">
        <v>227</v>
      </c>
      <c r="G38" s="2" t="s">
        <v>146</v>
      </c>
      <c r="H38" s="21" t="s">
        <v>268</v>
      </c>
      <c r="I38" s="3">
        <v>31.8</v>
      </c>
      <c r="J38" s="36">
        <v>540.67999999999995</v>
      </c>
      <c r="K38" s="2"/>
    </row>
    <row r="39" spans="1:11">
      <c r="A39" s="11">
        <v>32</v>
      </c>
      <c r="B39" s="2" t="s">
        <v>68</v>
      </c>
      <c r="C39" s="10" t="s">
        <v>247</v>
      </c>
      <c r="D39" s="11">
        <v>611021</v>
      </c>
      <c r="E39" s="11">
        <v>1514</v>
      </c>
      <c r="F39" s="2" t="s">
        <v>227</v>
      </c>
      <c r="G39" s="2" t="s">
        <v>146</v>
      </c>
      <c r="H39" s="21">
        <v>60</v>
      </c>
      <c r="I39" s="3">
        <v>50</v>
      </c>
      <c r="J39" s="36">
        <v>3000</v>
      </c>
      <c r="K39" s="2"/>
    </row>
    <row r="40" spans="1:11">
      <c r="A40" s="12"/>
      <c r="B40" s="4"/>
      <c r="C40" s="17"/>
      <c r="D40" s="12"/>
      <c r="E40" s="12"/>
      <c r="F40" s="4" t="s">
        <v>14</v>
      </c>
      <c r="G40" s="4"/>
      <c r="H40" s="22"/>
      <c r="I40" s="5"/>
      <c r="J40" s="5">
        <f>SUM(J8:J39)</f>
        <v>277009.72000000003</v>
      </c>
      <c r="K40" s="4"/>
    </row>
    <row r="41" spans="1:11">
      <c r="A41" s="19"/>
      <c r="B41" s="8" t="s">
        <v>78</v>
      </c>
      <c r="C41" s="10"/>
      <c r="D41" s="11"/>
      <c r="E41" s="11"/>
      <c r="F41" s="2"/>
      <c r="G41" s="2"/>
      <c r="H41" s="21"/>
      <c r="I41" s="3"/>
      <c r="J41" s="3">
        <f>H41*I41</f>
        <v>0</v>
      </c>
      <c r="K41" s="8"/>
    </row>
    <row r="42" spans="1:11">
      <c r="A42" s="12"/>
      <c r="B42" s="4"/>
      <c r="C42" s="17"/>
      <c r="D42" s="12"/>
      <c r="E42" s="12"/>
      <c r="F42" s="4" t="s">
        <v>14</v>
      </c>
      <c r="G42" s="4"/>
      <c r="H42" s="22"/>
      <c r="I42" s="5"/>
      <c r="J42" s="5">
        <f>SUM(J41)</f>
        <v>0</v>
      </c>
      <c r="K42" s="4"/>
    </row>
    <row r="43" spans="1:11" ht="15" customHeight="1">
      <c r="A43" s="11"/>
      <c r="B43" s="2" t="s">
        <v>31</v>
      </c>
      <c r="C43" s="10" t="s">
        <v>127</v>
      </c>
      <c r="D43" s="11">
        <v>611021</v>
      </c>
      <c r="E43" s="11">
        <v>1113</v>
      </c>
      <c r="F43" s="2" t="s">
        <v>173</v>
      </c>
      <c r="G43" s="2" t="s">
        <v>12</v>
      </c>
      <c r="H43" s="21">
        <v>5</v>
      </c>
      <c r="I43" s="3">
        <v>140</v>
      </c>
      <c r="J43" s="36">
        <f>H43*I43</f>
        <v>700</v>
      </c>
      <c r="K43" s="2"/>
    </row>
    <row r="44" spans="1:11" ht="15" customHeight="1">
      <c r="A44" s="11"/>
      <c r="B44" s="2" t="s">
        <v>31</v>
      </c>
      <c r="C44" s="10" t="s">
        <v>127</v>
      </c>
      <c r="D44" s="11">
        <v>613242</v>
      </c>
      <c r="E44" s="11" t="s">
        <v>134</v>
      </c>
      <c r="F44" s="2" t="s">
        <v>131</v>
      </c>
      <c r="G44" s="2" t="s">
        <v>12</v>
      </c>
      <c r="H44" s="21">
        <v>200</v>
      </c>
      <c r="I44" s="3">
        <v>0.55000000000000004</v>
      </c>
      <c r="J44" s="36">
        <f t="shared" ref="J44:J71" si="1">H44*I44</f>
        <v>110.00000000000001</v>
      </c>
      <c r="K44" s="2"/>
    </row>
    <row r="45" spans="1:11" ht="15" customHeight="1">
      <c r="A45" s="11"/>
      <c r="B45" s="2" t="s">
        <v>31</v>
      </c>
      <c r="C45" s="10" t="s">
        <v>127</v>
      </c>
      <c r="D45" s="11">
        <v>613242</v>
      </c>
      <c r="E45" s="11" t="s">
        <v>134</v>
      </c>
      <c r="F45" s="2" t="s">
        <v>175</v>
      </c>
      <c r="G45" s="2" t="s">
        <v>12</v>
      </c>
      <c r="H45" s="21">
        <v>400</v>
      </c>
      <c r="I45" s="3">
        <v>1.55</v>
      </c>
      <c r="J45" s="36">
        <f t="shared" si="1"/>
        <v>620</v>
      </c>
      <c r="K45" s="2"/>
    </row>
    <row r="46" spans="1:11" ht="15" customHeight="1">
      <c r="A46" s="11"/>
      <c r="B46" s="2" t="s">
        <v>31</v>
      </c>
      <c r="C46" s="10" t="s">
        <v>127</v>
      </c>
      <c r="D46" s="11">
        <v>613243</v>
      </c>
      <c r="E46" s="11" t="s">
        <v>134</v>
      </c>
      <c r="F46" s="2" t="s">
        <v>142</v>
      </c>
      <c r="G46" s="2" t="s">
        <v>12</v>
      </c>
      <c r="H46" s="21">
        <v>400</v>
      </c>
      <c r="I46" s="3">
        <v>0.5</v>
      </c>
      <c r="J46" s="36">
        <f t="shared" si="1"/>
        <v>200</v>
      </c>
      <c r="K46" s="2"/>
    </row>
    <row r="47" spans="1:11" ht="15" customHeight="1">
      <c r="A47" s="11"/>
      <c r="B47" s="2" t="s">
        <v>31</v>
      </c>
      <c r="C47" s="10" t="s">
        <v>127</v>
      </c>
      <c r="D47" s="11">
        <v>613244</v>
      </c>
      <c r="E47" s="11" t="s">
        <v>134</v>
      </c>
      <c r="F47" s="2" t="s">
        <v>193</v>
      </c>
      <c r="G47" s="2"/>
      <c r="H47" s="21">
        <v>200</v>
      </c>
      <c r="I47" s="3">
        <v>0.77</v>
      </c>
      <c r="J47" s="36">
        <f t="shared" si="1"/>
        <v>154</v>
      </c>
      <c r="K47" s="2"/>
    </row>
    <row r="48" spans="1:11" ht="15" customHeight="1">
      <c r="A48" s="11"/>
      <c r="B48" s="2" t="s">
        <v>31</v>
      </c>
      <c r="C48" s="10" t="s">
        <v>127</v>
      </c>
      <c r="D48" s="11">
        <v>613242</v>
      </c>
      <c r="E48" s="11" t="s">
        <v>134</v>
      </c>
      <c r="F48" s="2" t="s">
        <v>176</v>
      </c>
      <c r="G48" s="2" t="s">
        <v>12</v>
      </c>
      <c r="H48" s="21">
        <v>20</v>
      </c>
      <c r="I48" s="3">
        <v>9.9499999999999993</v>
      </c>
      <c r="J48" s="36">
        <f t="shared" si="1"/>
        <v>199</v>
      </c>
      <c r="K48" s="2"/>
    </row>
    <row r="49" spans="1:11" ht="15" customHeight="1">
      <c r="A49" s="11"/>
      <c r="B49" s="2" t="s">
        <v>31</v>
      </c>
      <c r="C49" s="10" t="s">
        <v>127</v>
      </c>
      <c r="D49" s="11">
        <v>611021</v>
      </c>
      <c r="E49" s="11">
        <v>1114</v>
      </c>
      <c r="F49" s="2" t="s">
        <v>177</v>
      </c>
      <c r="G49" s="2" t="s">
        <v>191</v>
      </c>
      <c r="H49" s="21">
        <v>2</v>
      </c>
      <c r="I49" s="3">
        <v>740</v>
      </c>
      <c r="J49" s="36">
        <f t="shared" si="1"/>
        <v>1480</v>
      </c>
      <c r="K49" s="2"/>
    </row>
    <row r="50" spans="1:11" ht="15" customHeight="1">
      <c r="A50" s="11"/>
      <c r="B50" s="2" t="s">
        <v>31</v>
      </c>
      <c r="C50" s="10" t="s">
        <v>127</v>
      </c>
      <c r="D50" s="11">
        <v>611021</v>
      </c>
      <c r="E50" s="11">
        <v>1113</v>
      </c>
      <c r="F50" s="2" t="s">
        <v>174</v>
      </c>
      <c r="G50" s="2" t="s">
        <v>12</v>
      </c>
      <c r="H50" s="21">
        <v>1</v>
      </c>
      <c r="I50" s="3">
        <v>1932</v>
      </c>
      <c r="J50" s="36">
        <f t="shared" si="1"/>
        <v>1932</v>
      </c>
      <c r="K50" s="2"/>
    </row>
    <row r="51" spans="1:11" ht="15" customHeight="1">
      <c r="A51" s="11"/>
      <c r="B51" s="2" t="s">
        <v>31</v>
      </c>
      <c r="C51" s="10" t="s">
        <v>127</v>
      </c>
      <c r="D51" s="11">
        <v>611021</v>
      </c>
      <c r="E51" s="11">
        <v>1114</v>
      </c>
      <c r="F51" s="2" t="s">
        <v>178</v>
      </c>
      <c r="G51" s="2" t="s">
        <v>12</v>
      </c>
      <c r="H51" s="21">
        <v>20</v>
      </c>
      <c r="I51" s="3">
        <v>252</v>
      </c>
      <c r="J51" s="36">
        <f t="shared" si="1"/>
        <v>5040</v>
      </c>
      <c r="K51" s="2"/>
    </row>
    <row r="52" spans="1:11" ht="15" customHeight="1">
      <c r="A52" s="11"/>
      <c r="B52" s="2" t="s">
        <v>31</v>
      </c>
      <c r="C52" s="10" t="s">
        <v>127</v>
      </c>
      <c r="D52" s="11">
        <v>611021</v>
      </c>
      <c r="E52" s="11">
        <v>1114</v>
      </c>
      <c r="F52" s="2" t="s">
        <v>179</v>
      </c>
      <c r="G52" s="2" t="s">
        <v>12</v>
      </c>
      <c r="H52" s="21">
        <v>7</v>
      </c>
      <c r="I52" s="3">
        <v>50</v>
      </c>
      <c r="J52" s="36">
        <f t="shared" si="1"/>
        <v>350</v>
      </c>
      <c r="K52" s="2"/>
    </row>
    <row r="53" spans="1:11" ht="15" customHeight="1">
      <c r="A53" s="11"/>
      <c r="B53" s="2" t="s">
        <v>31</v>
      </c>
      <c r="C53" s="10" t="s">
        <v>127</v>
      </c>
      <c r="D53" s="11">
        <v>613242</v>
      </c>
      <c r="E53" s="11" t="s">
        <v>125</v>
      </c>
      <c r="F53" s="2" t="s">
        <v>180</v>
      </c>
      <c r="G53" s="2" t="s">
        <v>12</v>
      </c>
      <c r="H53" s="21">
        <v>1</v>
      </c>
      <c r="I53" s="3">
        <v>170</v>
      </c>
      <c r="J53" s="36">
        <f t="shared" si="1"/>
        <v>170</v>
      </c>
      <c r="K53" s="2"/>
    </row>
    <row r="54" spans="1:11" ht="15" customHeight="1">
      <c r="A54" s="11"/>
      <c r="B54" s="2" t="s">
        <v>31</v>
      </c>
      <c r="C54" s="10" t="s">
        <v>127</v>
      </c>
      <c r="D54" s="11">
        <v>613242</v>
      </c>
      <c r="E54" s="11" t="s">
        <v>125</v>
      </c>
      <c r="F54" s="2" t="s">
        <v>69</v>
      </c>
      <c r="G54" s="2" t="s">
        <v>192</v>
      </c>
      <c r="H54" s="21">
        <v>5</v>
      </c>
      <c r="I54" s="3">
        <v>12.3</v>
      </c>
      <c r="J54" s="36">
        <f t="shared" si="1"/>
        <v>61.5</v>
      </c>
      <c r="K54" s="2"/>
    </row>
    <row r="55" spans="1:11" ht="15" customHeight="1">
      <c r="A55" s="11"/>
      <c r="B55" s="2" t="s">
        <v>31</v>
      </c>
      <c r="C55" s="10" t="s">
        <v>127</v>
      </c>
      <c r="D55" s="11">
        <v>613242</v>
      </c>
      <c r="E55" s="11" t="s">
        <v>125</v>
      </c>
      <c r="F55" s="2" t="s">
        <v>181</v>
      </c>
      <c r="G55" s="2" t="s">
        <v>192</v>
      </c>
      <c r="H55" s="21">
        <v>5</v>
      </c>
      <c r="I55" s="3">
        <v>99</v>
      </c>
      <c r="J55" s="36">
        <f t="shared" si="1"/>
        <v>495</v>
      </c>
      <c r="K55" s="2"/>
    </row>
    <row r="56" spans="1:11" ht="15" customHeight="1">
      <c r="A56" s="11"/>
      <c r="B56" s="2" t="s">
        <v>31</v>
      </c>
      <c r="C56" s="10" t="s">
        <v>127</v>
      </c>
      <c r="D56" s="11">
        <v>613242</v>
      </c>
      <c r="E56" s="11" t="s">
        <v>125</v>
      </c>
      <c r="F56" s="2" t="s">
        <v>126</v>
      </c>
      <c r="G56" s="2" t="s">
        <v>12</v>
      </c>
      <c r="H56" s="23">
        <v>52.5</v>
      </c>
      <c r="I56" s="9">
        <v>15.3</v>
      </c>
      <c r="J56" s="36">
        <f t="shared" si="1"/>
        <v>803.25</v>
      </c>
      <c r="K56" s="2"/>
    </row>
    <row r="57" spans="1:11">
      <c r="A57" s="11"/>
      <c r="B57" s="2" t="s">
        <v>31</v>
      </c>
      <c r="C57" s="10" t="s">
        <v>127</v>
      </c>
      <c r="D57" s="11">
        <v>613242</v>
      </c>
      <c r="E57" s="11" t="s">
        <v>134</v>
      </c>
      <c r="F57" s="2" t="s">
        <v>45</v>
      </c>
      <c r="G57" s="2" t="s">
        <v>12</v>
      </c>
      <c r="H57" s="21">
        <v>1</v>
      </c>
      <c r="I57" s="3">
        <v>18</v>
      </c>
      <c r="J57" s="36">
        <f t="shared" si="1"/>
        <v>18</v>
      </c>
      <c r="K57" s="2"/>
    </row>
    <row r="58" spans="1:11">
      <c r="A58" s="11"/>
      <c r="B58" s="2" t="s">
        <v>31</v>
      </c>
      <c r="C58" s="10" t="s">
        <v>127</v>
      </c>
      <c r="D58" s="11">
        <v>613242</v>
      </c>
      <c r="E58" s="11" t="s">
        <v>134</v>
      </c>
      <c r="F58" s="2" t="s">
        <v>102</v>
      </c>
      <c r="G58" s="2" t="s">
        <v>12</v>
      </c>
      <c r="H58" s="21">
        <v>3</v>
      </c>
      <c r="I58" s="3">
        <v>10</v>
      </c>
      <c r="J58" s="36">
        <f t="shared" si="1"/>
        <v>30</v>
      </c>
      <c r="K58" s="2"/>
    </row>
    <row r="59" spans="1:11">
      <c r="A59" s="11"/>
      <c r="B59" s="2" t="s">
        <v>31</v>
      </c>
      <c r="C59" s="10" t="s">
        <v>127</v>
      </c>
      <c r="D59" s="11">
        <v>613242</v>
      </c>
      <c r="E59" s="11" t="s">
        <v>134</v>
      </c>
      <c r="F59" s="2" t="s">
        <v>22</v>
      </c>
      <c r="G59" s="2" t="s">
        <v>12</v>
      </c>
      <c r="H59" s="21">
        <v>30</v>
      </c>
      <c r="I59" s="3">
        <v>10</v>
      </c>
      <c r="J59" s="36">
        <f t="shared" si="1"/>
        <v>300</v>
      </c>
      <c r="K59" s="2"/>
    </row>
    <row r="60" spans="1:11">
      <c r="A60" s="11"/>
      <c r="B60" s="2" t="s">
        <v>31</v>
      </c>
      <c r="C60" s="10" t="s">
        <v>127</v>
      </c>
      <c r="D60" s="11">
        <v>613242</v>
      </c>
      <c r="E60" s="11" t="s">
        <v>134</v>
      </c>
      <c r="F60" s="2" t="s">
        <v>106</v>
      </c>
      <c r="G60" s="2" t="s">
        <v>12</v>
      </c>
      <c r="H60" s="21">
        <v>30</v>
      </c>
      <c r="I60" s="3">
        <v>22.5</v>
      </c>
      <c r="J60" s="36">
        <f t="shared" si="1"/>
        <v>675</v>
      </c>
      <c r="K60" s="2"/>
    </row>
    <row r="61" spans="1:11">
      <c r="A61" s="11"/>
      <c r="B61" s="2" t="s">
        <v>31</v>
      </c>
      <c r="C61" s="10" t="s">
        <v>127</v>
      </c>
      <c r="D61" s="11">
        <v>613242</v>
      </c>
      <c r="E61" s="11" t="s">
        <v>125</v>
      </c>
      <c r="F61" s="2" t="s">
        <v>182</v>
      </c>
      <c r="G61" s="2" t="s">
        <v>12</v>
      </c>
      <c r="H61" s="21">
        <v>12</v>
      </c>
      <c r="I61" s="3">
        <v>57</v>
      </c>
      <c r="J61" s="36">
        <f t="shared" si="1"/>
        <v>684</v>
      </c>
      <c r="K61" s="2"/>
    </row>
    <row r="62" spans="1:11">
      <c r="A62" s="11"/>
      <c r="B62" s="2" t="s">
        <v>31</v>
      </c>
      <c r="C62" s="10" t="s">
        <v>127</v>
      </c>
      <c r="D62" s="11">
        <v>613242</v>
      </c>
      <c r="E62" s="11" t="s">
        <v>125</v>
      </c>
      <c r="F62" s="2" t="s">
        <v>183</v>
      </c>
      <c r="G62" s="2" t="s">
        <v>12</v>
      </c>
      <c r="H62" s="21">
        <v>1</v>
      </c>
      <c r="I62" s="3">
        <v>648</v>
      </c>
      <c r="J62" s="36">
        <f t="shared" si="1"/>
        <v>648</v>
      </c>
      <c r="K62" s="2"/>
    </row>
    <row r="63" spans="1:11">
      <c r="A63" s="11"/>
      <c r="B63" s="2" t="s">
        <v>31</v>
      </c>
      <c r="C63" s="10" t="s">
        <v>127</v>
      </c>
      <c r="D63" s="11">
        <v>613242</v>
      </c>
      <c r="E63" s="11" t="s">
        <v>125</v>
      </c>
      <c r="F63" s="2" t="s">
        <v>184</v>
      </c>
      <c r="G63" s="2" t="s">
        <v>12</v>
      </c>
      <c r="H63" s="21">
        <v>12</v>
      </c>
      <c r="I63" s="3">
        <v>72</v>
      </c>
      <c r="J63" s="36">
        <f t="shared" si="1"/>
        <v>864</v>
      </c>
      <c r="K63" s="2"/>
    </row>
    <row r="64" spans="1:11">
      <c r="A64" s="11"/>
      <c r="B64" s="2" t="s">
        <v>31</v>
      </c>
      <c r="C64" s="10" t="s">
        <v>127</v>
      </c>
      <c r="D64" s="11">
        <v>613242</v>
      </c>
      <c r="E64" s="11" t="s">
        <v>125</v>
      </c>
      <c r="F64" s="2" t="s">
        <v>185</v>
      </c>
      <c r="G64" s="2" t="s">
        <v>12</v>
      </c>
      <c r="H64" s="21">
        <v>20</v>
      </c>
      <c r="I64" s="3">
        <v>55</v>
      </c>
      <c r="J64" s="36">
        <f t="shared" si="1"/>
        <v>1100</v>
      </c>
      <c r="K64" s="2"/>
    </row>
    <row r="65" spans="1:11">
      <c r="A65" s="11"/>
      <c r="B65" s="2" t="s">
        <v>31</v>
      </c>
      <c r="C65" s="10" t="s">
        <v>127</v>
      </c>
      <c r="D65" s="11">
        <v>613242</v>
      </c>
      <c r="E65" s="11" t="s">
        <v>125</v>
      </c>
      <c r="F65" s="2" t="s">
        <v>186</v>
      </c>
      <c r="G65" s="2" t="s">
        <v>12</v>
      </c>
      <c r="H65" s="21">
        <v>1</v>
      </c>
      <c r="I65" s="3">
        <v>216</v>
      </c>
      <c r="J65" s="36">
        <f t="shared" si="1"/>
        <v>216</v>
      </c>
      <c r="K65" s="2"/>
    </row>
    <row r="66" spans="1:11">
      <c r="A66" s="11"/>
      <c r="B66" s="2" t="s">
        <v>31</v>
      </c>
      <c r="C66" s="10" t="s">
        <v>127</v>
      </c>
      <c r="D66" s="11">
        <v>613242</v>
      </c>
      <c r="E66" s="11" t="s">
        <v>134</v>
      </c>
      <c r="F66" s="2" t="s">
        <v>187</v>
      </c>
      <c r="G66" s="2" t="s">
        <v>12</v>
      </c>
      <c r="H66" s="21">
        <v>3</v>
      </c>
      <c r="I66" s="3">
        <v>44</v>
      </c>
      <c r="J66" s="36">
        <f t="shared" si="1"/>
        <v>132</v>
      </c>
      <c r="K66" s="2"/>
    </row>
    <row r="67" spans="1:11">
      <c r="A67" s="11"/>
      <c r="B67" s="2" t="s">
        <v>31</v>
      </c>
      <c r="C67" s="10" t="s">
        <v>127</v>
      </c>
      <c r="D67" s="11">
        <v>613242</v>
      </c>
      <c r="E67" s="11" t="s">
        <v>134</v>
      </c>
      <c r="F67" s="2" t="s">
        <v>188</v>
      </c>
      <c r="G67" s="2" t="s">
        <v>12</v>
      </c>
      <c r="H67" s="21">
        <v>10</v>
      </c>
      <c r="I67" s="3">
        <v>129</v>
      </c>
      <c r="J67" s="36">
        <f t="shared" si="1"/>
        <v>1290</v>
      </c>
      <c r="K67" s="2"/>
    </row>
    <row r="68" spans="1:11">
      <c r="A68" s="11"/>
      <c r="B68" s="2" t="s">
        <v>31</v>
      </c>
      <c r="C68" s="10" t="s">
        <v>127</v>
      </c>
      <c r="D68" s="11">
        <v>613242</v>
      </c>
      <c r="E68" s="11" t="s">
        <v>134</v>
      </c>
      <c r="F68" s="2" t="s">
        <v>64</v>
      </c>
      <c r="G68" s="2" t="s">
        <v>12</v>
      </c>
      <c r="H68" s="21">
        <v>5</v>
      </c>
      <c r="I68" s="3">
        <v>59</v>
      </c>
      <c r="J68" s="36">
        <f t="shared" si="1"/>
        <v>295</v>
      </c>
      <c r="K68" s="2"/>
    </row>
    <row r="69" spans="1:11">
      <c r="A69" s="11"/>
      <c r="B69" s="2" t="s">
        <v>31</v>
      </c>
      <c r="C69" s="10" t="s">
        <v>127</v>
      </c>
      <c r="D69" s="11">
        <v>613242</v>
      </c>
      <c r="E69" s="11" t="s">
        <v>134</v>
      </c>
      <c r="F69" s="2" t="s">
        <v>110</v>
      </c>
      <c r="G69" s="2" t="s">
        <v>12</v>
      </c>
      <c r="H69" s="21">
        <v>10</v>
      </c>
      <c r="I69" s="3">
        <v>17.899999999999999</v>
      </c>
      <c r="J69" s="36">
        <f t="shared" si="1"/>
        <v>179</v>
      </c>
      <c r="K69" s="2"/>
    </row>
    <row r="70" spans="1:11">
      <c r="A70" s="11"/>
      <c r="B70" s="2" t="s">
        <v>31</v>
      </c>
      <c r="C70" s="10" t="s">
        <v>127</v>
      </c>
      <c r="D70" s="11">
        <v>613242</v>
      </c>
      <c r="E70" s="11" t="s">
        <v>125</v>
      </c>
      <c r="F70" s="2" t="s">
        <v>189</v>
      </c>
      <c r="G70" s="2" t="s">
        <v>12</v>
      </c>
      <c r="H70" s="21">
        <v>5</v>
      </c>
      <c r="I70" s="3">
        <v>470</v>
      </c>
      <c r="J70" s="36">
        <f t="shared" si="1"/>
        <v>2350</v>
      </c>
      <c r="K70" s="2"/>
    </row>
    <row r="71" spans="1:11">
      <c r="A71" s="11"/>
      <c r="B71" s="2" t="s">
        <v>31</v>
      </c>
      <c r="C71" s="10" t="s">
        <v>127</v>
      </c>
      <c r="D71" s="11">
        <v>613242</v>
      </c>
      <c r="E71" s="11" t="s">
        <v>134</v>
      </c>
      <c r="F71" s="2" t="s">
        <v>190</v>
      </c>
      <c r="G71" s="2" t="s">
        <v>12</v>
      </c>
      <c r="H71" s="21">
        <v>5</v>
      </c>
      <c r="I71" s="3">
        <v>34.75</v>
      </c>
      <c r="J71" s="36">
        <f t="shared" si="1"/>
        <v>173.75</v>
      </c>
      <c r="K71" s="2"/>
    </row>
    <row r="72" spans="1:11" ht="15" customHeight="1">
      <c r="A72" s="11"/>
      <c r="B72" s="2" t="s">
        <v>31</v>
      </c>
      <c r="C72" s="10" t="s">
        <v>115</v>
      </c>
      <c r="D72" s="11">
        <v>611021</v>
      </c>
      <c r="E72" s="11">
        <v>1113</v>
      </c>
      <c r="F72" s="2" t="s">
        <v>212</v>
      </c>
      <c r="G72" s="2" t="s">
        <v>12</v>
      </c>
      <c r="H72" s="21">
        <v>4</v>
      </c>
      <c r="I72" s="3">
        <v>682.4</v>
      </c>
      <c r="J72" s="36">
        <f>H72*I72</f>
        <v>2729.6</v>
      </c>
      <c r="K72" s="2"/>
    </row>
    <row r="73" spans="1:11" ht="15" customHeight="1">
      <c r="A73" s="11"/>
      <c r="B73" s="2" t="s">
        <v>31</v>
      </c>
      <c r="C73" s="10" t="s">
        <v>115</v>
      </c>
      <c r="D73" s="11">
        <v>611021</v>
      </c>
      <c r="E73" s="11">
        <v>1113</v>
      </c>
      <c r="F73" s="2" t="s">
        <v>171</v>
      </c>
      <c r="G73" s="2" t="s">
        <v>12</v>
      </c>
      <c r="H73" s="21">
        <v>1</v>
      </c>
      <c r="I73" s="3">
        <v>5046.66</v>
      </c>
      <c r="J73" s="36">
        <f>H73*I73</f>
        <v>5046.66</v>
      </c>
      <c r="K73" s="2"/>
    </row>
    <row r="74" spans="1:11" ht="15" customHeight="1">
      <c r="A74" s="11"/>
      <c r="B74" s="2" t="s">
        <v>31</v>
      </c>
      <c r="C74" s="10" t="s">
        <v>115</v>
      </c>
      <c r="D74" s="11">
        <v>611021</v>
      </c>
      <c r="E74" s="11">
        <v>1113</v>
      </c>
      <c r="F74" s="2" t="s">
        <v>269</v>
      </c>
      <c r="G74" s="2" t="s">
        <v>12</v>
      </c>
      <c r="H74" s="21">
        <v>1</v>
      </c>
      <c r="I74" s="3">
        <v>1974.78</v>
      </c>
      <c r="J74" s="36">
        <f>H74*I74</f>
        <v>1974.78</v>
      </c>
      <c r="K74" s="2"/>
    </row>
    <row r="75" spans="1:11" ht="15" customHeight="1">
      <c r="A75" s="11"/>
      <c r="B75" s="2" t="s">
        <v>31</v>
      </c>
      <c r="C75" s="10" t="s">
        <v>115</v>
      </c>
      <c r="D75" s="11">
        <v>611021</v>
      </c>
      <c r="E75" s="11">
        <v>1114</v>
      </c>
      <c r="F75" s="2" t="s">
        <v>101</v>
      </c>
      <c r="G75" s="2" t="s">
        <v>12</v>
      </c>
      <c r="H75" s="21">
        <v>30</v>
      </c>
      <c r="I75" s="3">
        <v>1073</v>
      </c>
      <c r="J75" s="36">
        <f>H75*I75</f>
        <v>32190</v>
      </c>
      <c r="K75" s="2"/>
    </row>
    <row r="76" spans="1:11" ht="15" customHeight="1">
      <c r="A76" s="11"/>
      <c r="B76" s="2" t="s">
        <v>31</v>
      </c>
      <c r="C76" s="10" t="s">
        <v>211</v>
      </c>
      <c r="D76" s="11">
        <v>611021</v>
      </c>
      <c r="E76" s="11">
        <v>1514</v>
      </c>
      <c r="F76" s="2" t="s">
        <v>148</v>
      </c>
      <c r="G76" s="2" t="s">
        <v>92</v>
      </c>
      <c r="H76" s="21">
        <v>64</v>
      </c>
      <c r="I76" s="3">
        <v>50</v>
      </c>
      <c r="J76" s="36">
        <f>H76*I76</f>
        <v>3200</v>
      </c>
      <c r="K76" s="2"/>
    </row>
    <row r="77" spans="1:11" ht="15" customHeight="1">
      <c r="A77" s="11"/>
      <c r="B77" s="2"/>
      <c r="C77" s="10" t="s">
        <v>211</v>
      </c>
      <c r="D77" s="11"/>
      <c r="E77" s="11"/>
      <c r="F77" s="10" t="s">
        <v>128</v>
      </c>
      <c r="G77" s="2"/>
      <c r="H77" s="21">
        <v>16</v>
      </c>
      <c r="I77" s="3"/>
      <c r="J77" s="37">
        <v>556</v>
      </c>
      <c r="K77" s="2"/>
    </row>
    <row r="78" spans="1:11">
      <c r="A78" s="12"/>
      <c r="B78" s="4"/>
      <c r="C78" s="17"/>
      <c r="D78" s="12"/>
      <c r="E78" s="12"/>
      <c r="F78" s="4" t="s">
        <v>14</v>
      </c>
      <c r="G78" s="4"/>
      <c r="H78" s="22"/>
      <c r="I78" s="5"/>
      <c r="J78" s="5">
        <f>SUM(J43:J77)</f>
        <v>66966.539999999994</v>
      </c>
      <c r="K78" s="4"/>
    </row>
    <row r="79" spans="1:11">
      <c r="A79" s="11">
        <v>3</v>
      </c>
      <c r="B79" s="2" t="s">
        <v>34</v>
      </c>
      <c r="C79" s="10" t="s">
        <v>115</v>
      </c>
      <c r="D79" s="11">
        <v>611021</v>
      </c>
      <c r="E79" s="11">
        <v>1113</v>
      </c>
      <c r="F79" s="2" t="s">
        <v>194</v>
      </c>
      <c r="G79" s="2" t="s">
        <v>12</v>
      </c>
      <c r="H79" s="21">
        <v>1</v>
      </c>
      <c r="I79" s="3">
        <v>1974.78</v>
      </c>
      <c r="J79" s="36">
        <f>H79*I79</f>
        <v>1974.78</v>
      </c>
      <c r="K79" s="2"/>
    </row>
    <row r="80" spans="1:11" ht="30">
      <c r="A80" s="11"/>
      <c r="B80" s="2" t="s">
        <v>34</v>
      </c>
      <c r="C80" s="10" t="s">
        <v>195</v>
      </c>
      <c r="D80" s="11">
        <v>611021</v>
      </c>
      <c r="E80" s="11">
        <v>1114</v>
      </c>
      <c r="F80" s="2" t="s">
        <v>196</v>
      </c>
      <c r="G80" s="2" t="s">
        <v>12</v>
      </c>
      <c r="H80" s="22">
        <v>288</v>
      </c>
      <c r="I80" s="3">
        <v>210</v>
      </c>
      <c r="J80" s="36">
        <f t="shared" ref="J80:J81" si="2">H80*I80</f>
        <v>60480</v>
      </c>
      <c r="K80" s="2"/>
    </row>
    <row r="81" spans="1:11" ht="30">
      <c r="A81" s="11"/>
      <c r="B81" s="2" t="s">
        <v>34</v>
      </c>
      <c r="C81" s="10" t="s">
        <v>195</v>
      </c>
      <c r="D81" s="11">
        <v>611021</v>
      </c>
      <c r="E81" s="11">
        <v>1114</v>
      </c>
      <c r="F81" s="2" t="s">
        <v>197</v>
      </c>
      <c r="G81" s="2" t="s">
        <v>12</v>
      </c>
      <c r="H81" s="22">
        <v>288</v>
      </c>
      <c r="I81" s="3">
        <v>70</v>
      </c>
      <c r="J81" s="36">
        <f t="shared" si="2"/>
        <v>20160</v>
      </c>
      <c r="K81" s="2"/>
    </row>
    <row r="82" spans="1:11" ht="30">
      <c r="A82" s="11"/>
      <c r="B82" s="2" t="s">
        <v>34</v>
      </c>
      <c r="C82" s="10" t="s">
        <v>195</v>
      </c>
      <c r="D82" s="11">
        <v>611021</v>
      </c>
      <c r="E82" s="11">
        <v>1114</v>
      </c>
      <c r="F82" s="2" t="s">
        <v>198</v>
      </c>
      <c r="G82" s="2" t="s">
        <v>12</v>
      </c>
      <c r="H82" s="22">
        <v>288</v>
      </c>
      <c r="I82" s="3">
        <v>250</v>
      </c>
      <c r="J82" s="36">
        <f>H82*I82</f>
        <v>72000</v>
      </c>
      <c r="K82" s="2"/>
    </row>
    <row r="83" spans="1:11" ht="33" customHeight="1">
      <c r="A83" s="11"/>
      <c r="B83" s="2" t="s">
        <v>34</v>
      </c>
      <c r="C83" s="10" t="s">
        <v>195</v>
      </c>
      <c r="D83" s="11">
        <v>611021</v>
      </c>
      <c r="E83" s="11">
        <v>1113</v>
      </c>
      <c r="F83" s="10" t="s">
        <v>199</v>
      </c>
      <c r="G83" s="2" t="s">
        <v>12</v>
      </c>
      <c r="H83" s="21">
        <v>88</v>
      </c>
      <c r="I83" s="3">
        <v>1610</v>
      </c>
      <c r="J83" s="36">
        <f>H83*I83</f>
        <v>141680</v>
      </c>
      <c r="K83" s="2"/>
    </row>
    <row r="84" spans="1:11">
      <c r="A84" s="12"/>
      <c r="B84" s="4"/>
      <c r="C84" s="17"/>
      <c r="D84" s="12"/>
      <c r="E84" s="12"/>
      <c r="F84" s="4" t="s">
        <v>14</v>
      </c>
      <c r="G84" s="4"/>
      <c r="H84" s="22"/>
      <c r="I84" s="5"/>
      <c r="J84" s="5">
        <f>SUM(J79:J83)</f>
        <v>296294.78000000003</v>
      </c>
      <c r="K84" s="4"/>
    </row>
    <row r="85" spans="1:11">
      <c r="A85" s="19"/>
      <c r="B85" s="8" t="s">
        <v>35</v>
      </c>
      <c r="C85" s="10" t="s">
        <v>115</v>
      </c>
      <c r="D85" s="11">
        <v>611021</v>
      </c>
      <c r="E85" s="11">
        <v>1113</v>
      </c>
      <c r="F85" s="2" t="s">
        <v>171</v>
      </c>
      <c r="G85" s="2" t="s">
        <v>12</v>
      </c>
      <c r="H85" s="21">
        <v>2</v>
      </c>
      <c r="I85" s="3">
        <v>5046.66</v>
      </c>
      <c r="J85" s="3">
        <f>H85*I85</f>
        <v>10093.32</v>
      </c>
      <c r="K85" s="8"/>
    </row>
    <row r="86" spans="1:11">
      <c r="A86" s="12"/>
      <c r="B86" s="4"/>
      <c r="C86" s="17"/>
      <c r="D86" s="12"/>
      <c r="E86" s="12"/>
      <c r="F86" s="4" t="s">
        <v>14</v>
      </c>
      <c r="G86" s="4"/>
      <c r="H86" s="22"/>
      <c r="I86" s="5"/>
      <c r="J86" s="5">
        <f>SUM(J85)</f>
        <v>10093.32</v>
      </c>
      <c r="K86" s="4"/>
    </row>
    <row r="87" spans="1:11">
      <c r="A87" s="19"/>
      <c r="B87" s="8" t="s">
        <v>36</v>
      </c>
      <c r="C87" s="10"/>
      <c r="D87" s="11"/>
      <c r="E87" s="11"/>
      <c r="F87" s="2"/>
      <c r="G87" s="2"/>
      <c r="H87" s="21"/>
      <c r="I87" s="3"/>
      <c r="J87" s="3">
        <f>H87*I87</f>
        <v>0</v>
      </c>
      <c r="K87" s="8"/>
    </row>
    <row r="88" spans="1:11">
      <c r="A88" s="12"/>
      <c r="B88" s="4"/>
      <c r="C88" s="17"/>
      <c r="D88" s="12"/>
      <c r="E88" s="12"/>
      <c r="F88" s="4" t="s">
        <v>14</v>
      </c>
      <c r="G88" s="4"/>
      <c r="H88" s="22"/>
      <c r="I88" s="5"/>
      <c r="J88" s="5">
        <f>SUM(J87)</f>
        <v>0</v>
      </c>
      <c r="K88" s="4"/>
    </row>
    <row r="89" spans="1:11">
      <c r="A89" s="19">
        <v>4</v>
      </c>
      <c r="B89" s="8" t="s">
        <v>56</v>
      </c>
      <c r="C89" s="10" t="s">
        <v>127</v>
      </c>
      <c r="D89" s="11">
        <v>613242</v>
      </c>
      <c r="E89" s="11" t="s">
        <v>134</v>
      </c>
      <c r="F89" s="2" t="s">
        <v>187</v>
      </c>
      <c r="G89" s="2" t="s">
        <v>12</v>
      </c>
      <c r="H89" s="21">
        <v>4</v>
      </c>
      <c r="I89" s="3">
        <v>200</v>
      </c>
      <c r="J89" s="36">
        <f t="shared" ref="J89:J115" si="3">H89*I89</f>
        <v>800</v>
      </c>
      <c r="K89" s="8"/>
    </row>
    <row r="90" spans="1:11">
      <c r="A90" s="19"/>
      <c r="B90" s="8" t="s">
        <v>56</v>
      </c>
      <c r="C90" s="10" t="s">
        <v>127</v>
      </c>
      <c r="D90" s="11">
        <v>613242</v>
      </c>
      <c r="E90" s="11" t="s">
        <v>134</v>
      </c>
      <c r="F90" s="2" t="s">
        <v>110</v>
      </c>
      <c r="G90" s="2" t="s">
        <v>12</v>
      </c>
      <c r="H90" s="21">
        <v>10</v>
      </c>
      <c r="I90" s="3">
        <v>12</v>
      </c>
      <c r="J90" s="36">
        <f t="shared" si="3"/>
        <v>120</v>
      </c>
      <c r="K90" s="8"/>
    </row>
    <row r="91" spans="1:11">
      <c r="A91" s="19"/>
      <c r="B91" s="8" t="s">
        <v>56</v>
      </c>
      <c r="C91" s="10" t="s">
        <v>127</v>
      </c>
      <c r="D91" s="11">
        <v>611021</v>
      </c>
      <c r="E91" s="11">
        <v>1114</v>
      </c>
      <c r="F91" s="2" t="s">
        <v>200</v>
      </c>
      <c r="G91" s="2" t="s">
        <v>12</v>
      </c>
      <c r="H91" s="21">
        <v>8</v>
      </c>
      <c r="I91" s="3">
        <v>50</v>
      </c>
      <c r="J91" s="36">
        <f t="shared" si="3"/>
        <v>400</v>
      </c>
      <c r="K91" s="8"/>
    </row>
    <row r="92" spans="1:11">
      <c r="A92" s="19"/>
      <c r="B92" s="8" t="s">
        <v>56</v>
      </c>
      <c r="C92" s="10" t="s">
        <v>127</v>
      </c>
      <c r="D92" s="11">
        <v>613242</v>
      </c>
      <c r="E92" s="11" t="s">
        <v>134</v>
      </c>
      <c r="F92" s="29" t="s">
        <v>142</v>
      </c>
      <c r="G92" s="2" t="s">
        <v>12</v>
      </c>
      <c r="H92" s="23">
        <v>400</v>
      </c>
      <c r="I92" s="9">
        <v>0.85</v>
      </c>
      <c r="J92" s="36">
        <f t="shared" si="3"/>
        <v>340</v>
      </c>
      <c r="K92" s="8"/>
    </row>
    <row r="93" spans="1:11">
      <c r="A93" s="19"/>
      <c r="B93" s="8" t="s">
        <v>56</v>
      </c>
      <c r="C93" s="10" t="s">
        <v>127</v>
      </c>
      <c r="D93" s="11">
        <v>613242</v>
      </c>
      <c r="E93" s="11" t="s">
        <v>134</v>
      </c>
      <c r="F93" s="2" t="s">
        <v>45</v>
      </c>
      <c r="G93" s="2" t="s">
        <v>12</v>
      </c>
      <c r="H93" s="23">
        <v>11</v>
      </c>
      <c r="I93" s="9">
        <v>10</v>
      </c>
      <c r="J93" s="36">
        <f t="shared" si="3"/>
        <v>110</v>
      </c>
      <c r="K93" s="8"/>
    </row>
    <row r="94" spans="1:11">
      <c r="A94" s="19"/>
      <c r="B94" s="8" t="s">
        <v>56</v>
      </c>
      <c r="C94" s="10" t="s">
        <v>127</v>
      </c>
      <c r="D94" s="11">
        <v>613242</v>
      </c>
      <c r="E94" s="11">
        <v>1512</v>
      </c>
      <c r="F94" s="2" t="s">
        <v>79</v>
      </c>
      <c r="G94" s="2" t="s">
        <v>12</v>
      </c>
      <c r="H94" s="23">
        <v>1</v>
      </c>
      <c r="I94" s="9">
        <v>200</v>
      </c>
      <c r="J94" s="36">
        <f t="shared" si="3"/>
        <v>200</v>
      </c>
      <c r="K94" s="8"/>
    </row>
    <row r="95" spans="1:11">
      <c r="A95" s="19"/>
      <c r="B95" s="8" t="s">
        <v>56</v>
      </c>
      <c r="C95" s="10" t="s">
        <v>127</v>
      </c>
      <c r="D95" s="11">
        <v>613242</v>
      </c>
      <c r="E95" s="11" t="s">
        <v>125</v>
      </c>
      <c r="F95" s="2" t="s">
        <v>201</v>
      </c>
      <c r="G95" s="2" t="s">
        <v>12</v>
      </c>
      <c r="H95" s="23">
        <v>2</v>
      </c>
      <c r="I95" s="9">
        <v>98</v>
      </c>
      <c r="J95" s="36">
        <f t="shared" si="3"/>
        <v>196</v>
      </c>
      <c r="K95" s="8"/>
    </row>
    <row r="96" spans="1:11">
      <c r="A96" s="19"/>
      <c r="B96" s="8" t="s">
        <v>56</v>
      </c>
      <c r="C96" s="10" t="s">
        <v>127</v>
      </c>
      <c r="D96" s="11">
        <v>613242</v>
      </c>
      <c r="E96" s="11" t="s">
        <v>134</v>
      </c>
      <c r="F96" s="2" t="s">
        <v>202</v>
      </c>
      <c r="G96" s="2" t="s">
        <v>12</v>
      </c>
      <c r="H96" s="23">
        <v>300</v>
      </c>
      <c r="I96" s="9">
        <v>0.5</v>
      </c>
      <c r="J96" s="36">
        <f t="shared" si="3"/>
        <v>150</v>
      </c>
      <c r="K96" s="8"/>
    </row>
    <row r="97" spans="1:11">
      <c r="A97" s="19"/>
      <c r="B97" s="8" t="s">
        <v>56</v>
      </c>
      <c r="C97" s="10" t="s">
        <v>127</v>
      </c>
      <c r="D97" s="11">
        <v>613242</v>
      </c>
      <c r="E97" s="11" t="s">
        <v>134</v>
      </c>
      <c r="F97" s="2" t="s">
        <v>203</v>
      </c>
      <c r="G97" s="2" t="s">
        <v>12</v>
      </c>
      <c r="H97" s="23">
        <v>10</v>
      </c>
      <c r="I97" s="9">
        <v>45</v>
      </c>
      <c r="J97" s="36">
        <f t="shared" si="3"/>
        <v>450</v>
      </c>
      <c r="K97" s="8"/>
    </row>
    <row r="98" spans="1:11">
      <c r="A98" s="19"/>
      <c r="B98" s="8" t="s">
        <v>56</v>
      </c>
      <c r="C98" s="10" t="s">
        <v>127</v>
      </c>
      <c r="D98" s="11">
        <v>613242</v>
      </c>
      <c r="E98" s="11" t="s">
        <v>134</v>
      </c>
      <c r="F98" s="2" t="s">
        <v>204</v>
      </c>
      <c r="G98" s="2" t="s">
        <v>12</v>
      </c>
      <c r="H98" s="23">
        <v>200</v>
      </c>
      <c r="I98" s="9">
        <v>0.65</v>
      </c>
      <c r="J98" s="36">
        <f t="shared" si="3"/>
        <v>130</v>
      </c>
      <c r="K98" s="8"/>
    </row>
    <row r="99" spans="1:11">
      <c r="A99" s="19"/>
      <c r="B99" s="8" t="s">
        <v>56</v>
      </c>
      <c r="C99" s="10" t="s">
        <v>127</v>
      </c>
      <c r="D99" s="11">
        <v>613242</v>
      </c>
      <c r="E99" s="11" t="s">
        <v>134</v>
      </c>
      <c r="F99" s="2" t="s">
        <v>111</v>
      </c>
      <c r="G99" s="2" t="s">
        <v>12</v>
      </c>
      <c r="H99" s="23">
        <v>30</v>
      </c>
      <c r="I99" s="9">
        <v>22.8</v>
      </c>
      <c r="J99" s="36">
        <f t="shared" si="3"/>
        <v>684</v>
      </c>
      <c r="K99" s="8"/>
    </row>
    <row r="100" spans="1:11">
      <c r="A100" s="19"/>
      <c r="B100" s="8" t="s">
        <v>56</v>
      </c>
      <c r="C100" s="10" t="s">
        <v>127</v>
      </c>
      <c r="D100" s="11">
        <v>613242</v>
      </c>
      <c r="E100" s="11" t="s">
        <v>134</v>
      </c>
      <c r="F100" s="2" t="s">
        <v>205</v>
      </c>
      <c r="G100" s="2" t="s">
        <v>12</v>
      </c>
      <c r="H100" s="23">
        <v>24</v>
      </c>
      <c r="I100" s="9">
        <v>10</v>
      </c>
      <c r="J100" s="36">
        <f t="shared" si="3"/>
        <v>240</v>
      </c>
      <c r="K100" s="8"/>
    </row>
    <row r="101" spans="1:11">
      <c r="A101" s="19"/>
      <c r="B101" s="8" t="s">
        <v>56</v>
      </c>
      <c r="C101" s="10" t="s">
        <v>127</v>
      </c>
      <c r="D101" s="11">
        <v>611021</v>
      </c>
      <c r="E101" s="11">
        <v>1113</v>
      </c>
      <c r="F101" s="2" t="s">
        <v>133</v>
      </c>
      <c r="G101" s="2" t="s">
        <v>12</v>
      </c>
      <c r="H101" s="23">
        <v>5</v>
      </c>
      <c r="I101" s="9">
        <v>79</v>
      </c>
      <c r="J101" s="36">
        <f t="shared" si="3"/>
        <v>395</v>
      </c>
      <c r="K101" s="8"/>
    </row>
    <row r="102" spans="1:11">
      <c r="A102" s="19"/>
      <c r="B102" s="8" t="s">
        <v>56</v>
      </c>
      <c r="C102" s="10" t="s">
        <v>127</v>
      </c>
      <c r="D102" s="11">
        <v>613242</v>
      </c>
      <c r="E102" s="11" t="s">
        <v>125</v>
      </c>
      <c r="F102" s="2" t="s">
        <v>206</v>
      </c>
      <c r="G102" s="2" t="s">
        <v>12</v>
      </c>
      <c r="H102" s="23">
        <v>25</v>
      </c>
      <c r="I102" s="9">
        <v>24</v>
      </c>
      <c r="J102" s="36">
        <f t="shared" si="3"/>
        <v>600</v>
      </c>
      <c r="K102" s="8"/>
    </row>
    <row r="103" spans="1:11">
      <c r="A103" s="19"/>
      <c r="B103" s="8" t="s">
        <v>56</v>
      </c>
      <c r="C103" s="10" t="s">
        <v>127</v>
      </c>
      <c r="D103" s="11">
        <v>613242</v>
      </c>
      <c r="E103" s="11" t="s">
        <v>134</v>
      </c>
      <c r="F103" s="2" t="s">
        <v>207</v>
      </c>
      <c r="G103" s="2" t="s">
        <v>12</v>
      </c>
      <c r="H103" s="23">
        <v>10</v>
      </c>
      <c r="I103" s="9">
        <v>10</v>
      </c>
      <c r="J103" s="36">
        <f t="shared" si="3"/>
        <v>100</v>
      </c>
      <c r="K103" s="8"/>
    </row>
    <row r="104" spans="1:11">
      <c r="A104" s="19"/>
      <c r="B104" s="8" t="s">
        <v>56</v>
      </c>
      <c r="C104" s="10" t="s">
        <v>127</v>
      </c>
      <c r="D104" s="11">
        <v>613242</v>
      </c>
      <c r="E104" s="11" t="s">
        <v>125</v>
      </c>
      <c r="F104" s="2" t="s">
        <v>208</v>
      </c>
      <c r="G104" s="2" t="s">
        <v>12</v>
      </c>
      <c r="H104" s="23">
        <v>10</v>
      </c>
      <c r="I104" s="9">
        <v>33.25</v>
      </c>
      <c r="J104" s="36">
        <f t="shared" si="3"/>
        <v>332.5</v>
      </c>
      <c r="K104" s="8"/>
    </row>
    <row r="105" spans="1:11">
      <c r="A105" s="19"/>
      <c r="B105" s="8" t="s">
        <v>56</v>
      </c>
      <c r="C105" s="10" t="s">
        <v>127</v>
      </c>
      <c r="D105" s="11">
        <v>613242</v>
      </c>
      <c r="E105" s="11" t="s">
        <v>125</v>
      </c>
      <c r="F105" s="2" t="s">
        <v>209</v>
      </c>
      <c r="G105" s="2" t="s">
        <v>12</v>
      </c>
      <c r="H105" s="23">
        <v>5</v>
      </c>
      <c r="I105" s="9">
        <v>300</v>
      </c>
      <c r="J105" s="36">
        <f t="shared" si="3"/>
        <v>1500</v>
      </c>
      <c r="K105" s="8"/>
    </row>
    <row r="106" spans="1:11">
      <c r="A106" s="19"/>
      <c r="B106" s="8" t="s">
        <v>56</v>
      </c>
      <c r="C106" s="10" t="s">
        <v>127</v>
      </c>
      <c r="D106" s="11">
        <v>611021</v>
      </c>
      <c r="E106" s="11">
        <v>1113</v>
      </c>
      <c r="F106" s="2" t="s">
        <v>210</v>
      </c>
      <c r="G106" s="2" t="s">
        <v>12</v>
      </c>
      <c r="H106" s="23">
        <v>1</v>
      </c>
      <c r="I106" s="9">
        <v>79</v>
      </c>
      <c r="J106" s="36">
        <f t="shared" si="3"/>
        <v>79</v>
      </c>
      <c r="K106" s="8"/>
    </row>
    <row r="107" spans="1:11">
      <c r="A107" s="19"/>
      <c r="B107" s="8" t="s">
        <v>56</v>
      </c>
      <c r="C107" s="10" t="s">
        <v>115</v>
      </c>
      <c r="D107" s="11">
        <v>611021</v>
      </c>
      <c r="E107" s="11">
        <v>1113</v>
      </c>
      <c r="F107" s="2" t="s">
        <v>171</v>
      </c>
      <c r="G107" s="2" t="s">
        <v>12</v>
      </c>
      <c r="H107" s="23">
        <v>1</v>
      </c>
      <c r="I107" s="9">
        <v>5046.66</v>
      </c>
      <c r="J107" s="36">
        <f t="shared" si="3"/>
        <v>5046.66</v>
      </c>
      <c r="K107" s="8"/>
    </row>
    <row r="108" spans="1:11">
      <c r="A108" s="19"/>
      <c r="B108" s="8" t="s">
        <v>56</v>
      </c>
      <c r="C108" s="10" t="s">
        <v>115</v>
      </c>
      <c r="D108" s="11">
        <v>611021</v>
      </c>
      <c r="E108" s="11">
        <v>1113</v>
      </c>
      <c r="F108" s="2" t="s">
        <v>212</v>
      </c>
      <c r="G108" s="2" t="s">
        <v>12</v>
      </c>
      <c r="H108" s="23">
        <v>3</v>
      </c>
      <c r="I108" s="9">
        <v>682.4</v>
      </c>
      <c r="J108" s="36">
        <f t="shared" si="3"/>
        <v>2047.1999999999998</v>
      </c>
      <c r="K108" s="8"/>
    </row>
    <row r="109" spans="1:11">
      <c r="A109" s="19"/>
      <c r="B109" s="8" t="s">
        <v>56</v>
      </c>
      <c r="C109" s="10" t="s">
        <v>115</v>
      </c>
      <c r="D109" s="11">
        <v>611021</v>
      </c>
      <c r="E109" s="11">
        <v>1114</v>
      </c>
      <c r="F109" s="2" t="s">
        <v>101</v>
      </c>
      <c r="G109" s="2" t="s">
        <v>12</v>
      </c>
      <c r="H109" s="23">
        <v>30</v>
      </c>
      <c r="I109" s="9">
        <v>1073</v>
      </c>
      <c r="J109" s="36">
        <f t="shared" si="3"/>
        <v>32190</v>
      </c>
      <c r="K109" s="8"/>
    </row>
    <row r="110" spans="1:11">
      <c r="A110" s="19"/>
      <c r="B110" s="8" t="s">
        <v>56</v>
      </c>
      <c r="C110" s="10" t="s">
        <v>115</v>
      </c>
      <c r="D110" s="11">
        <v>611021</v>
      </c>
      <c r="E110" s="11">
        <v>1113</v>
      </c>
      <c r="F110" s="2" t="s">
        <v>194</v>
      </c>
      <c r="G110" s="2" t="s">
        <v>12</v>
      </c>
      <c r="H110" s="23">
        <v>1</v>
      </c>
      <c r="I110" s="9">
        <v>1974.78</v>
      </c>
      <c r="J110" s="36">
        <f t="shared" si="3"/>
        <v>1974.78</v>
      </c>
      <c r="K110" s="8"/>
    </row>
    <row r="111" spans="1:11">
      <c r="A111" s="19"/>
      <c r="B111" s="8" t="s">
        <v>56</v>
      </c>
      <c r="C111" s="10" t="s">
        <v>247</v>
      </c>
      <c r="D111" s="11">
        <v>611021</v>
      </c>
      <c r="E111" s="11">
        <v>1113</v>
      </c>
      <c r="F111" s="2" t="s">
        <v>99</v>
      </c>
      <c r="G111" s="2" t="s">
        <v>12</v>
      </c>
      <c r="H111" s="23">
        <v>12</v>
      </c>
      <c r="I111" s="9">
        <v>75</v>
      </c>
      <c r="J111" s="36">
        <f t="shared" si="3"/>
        <v>900</v>
      </c>
      <c r="K111" s="8"/>
    </row>
    <row r="112" spans="1:11">
      <c r="A112" s="19"/>
      <c r="B112" s="8" t="s">
        <v>56</v>
      </c>
      <c r="C112" s="10" t="s">
        <v>247</v>
      </c>
      <c r="D112" s="11">
        <v>611021</v>
      </c>
      <c r="E112" s="11">
        <v>1113</v>
      </c>
      <c r="F112" s="2" t="s">
        <v>270</v>
      </c>
      <c r="G112" s="2" t="s">
        <v>12</v>
      </c>
      <c r="H112" s="23">
        <v>12</v>
      </c>
      <c r="I112" s="9">
        <v>70</v>
      </c>
      <c r="J112" s="36">
        <f t="shared" si="3"/>
        <v>840</v>
      </c>
      <c r="K112" s="8"/>
    </row>
    <row r="113" spans="1:11">
      <c r="A113" s="19"/>
      <c r="B113" s="8" t="s">
        <v>56</v>
      </c>
      <c r="C113" s="10" t="s">
        <v>247</v>
      </c>
      <c r="D113" s="11">
        <v>611021</v>
      </c>
      <c r="E113" s="11">
        <v>1113</v>
      </c>
      <c r="F113" s="2" t="s">
        <v>98</v>
      </c>
      <c r="G113" s="2" t="s">
        <v>12</v>
      </c>
      <c r="H113" s="23">
        <v>2</v>
      </c>
      <c r="I113" s="9">
        <v>80</v>
      </c>
      <c r="J113" s="36">
        <f t="shared" si="3"/>
        <v>160</v>
      </c>
      <c r="K113" s="8"/>
    </row>
    <row r="114" spans="1:11">
      <c r="A114" s="19"/>
      <c r="B114" s="8" t="s">
        <v>56</v>
      </c>
      <c r="C114" s="10" t="s">
        <v>247</v>
      </c>
      <c r="D114" s="11">
        <v>611021</v>
      </c>
      <c r="E114" s="11">
        <v>1113</v>
      </c>
      <c r="F114" s="2" t="s">
        <v>271</v>
      </c>
      <c r="G114" s="2" t="s">
        <v>12</v>
      </c>
      <c r="H114" s="23">
        <v>2</v>
      </c>
      <c r="I114" s="9">
        <v>450</v>
      </c>
      <c r="J114" s="36">
        <f t="shared" si="3"/>
        <v>900</v>
      </c>
      <c r="K114" s="8"/>
    </row>
    <row r="115" spans="1:11">
      <c r="A115" s="19"/>
      <c r="B115" s="8" t="s">
        <v>56</v>
      </c>
      <c r="C115" s="10" t="s">
        <v>247</v>
      </c>
      <c r="D115" s="11">
        <v>611021</v>
      </c>
      <c r="E115" s="11" t="s">
        <v>11</v>
      </c>
      <c r="F115" s="2" t="s">
        <v>272</v>
      </c>
      <c r="G115" s="2" t="s">
        <v>12</v>
      </c>
      <c r="H115" s="23">
        <v>2</v>
      </c>
      <c r="I115" s="9">
        <v>3900</v>
      </c>
      <c r="J115" s="36">
        <f t="shared" si="3"/>
        <v>7800</v>
      </c>
      <c r="K115" s="8"/>
    </row>
    <row r="116" spans="1:11">
      <c r="A116" s="19"/>
      <c r="B116" s="8" t="s">
        <v>56</v>
      </c>
      <c r="C116" s="10" t="s">
        <v>247</v>
      </c>
      <c r="D116" s="11">
        <v>611021</v>
      </c>
      <c r="E116" s="11" t="s">
        <v>11</v>
      </c>
      <c r="F116" s="2" t="s">
        <v>273</v>
      </c>
      <c r="G116" s="2" t="s">
        <v>40</v>
      </c>
      <c r="H116" s="23">
        <f>36+10+4+4+4</f>
        <v>58</v>
      </c>
      <c r="I116" s="9"/>
      <c r="J116" s="36">
        <f>3060+650+400+360+600</f>
        <v>5070</v>
      </c>
      <c r="K116" s="8"/>
    </row>
    <row r="117" spans="1:11">
      <c r="A117" s="19"/>
      <c r="B117" s="8" t="s">
        <v>56</v>
      </c>
      <c r="C117" s="10" t="s">
        <v>247</v>
      </c>
      <c r="D117" s="11">
        <v>611021</v>
      </c>
      <c r="E117" s="11" t="s">
        <v>11</v>
      </c>
      <c r="F117" s="2" t="s">
        <v>274</v>
      </c>
      <c r="G117" s="2" t="s">
        <v>12</v>
      </c>
      <c r="H117" s="23">
        <v>3</v>
      </c>
      <c r="I117" s="9">
        <v>85</v>
      </c>
      <c r="J117" s="36">
        <f t="shared" ref="J117:J149" si="4">H117*I117</f>
        <v>255</v>
      </c>
      <c r="K117" s="8"/>
    </row>
    <row r="118" spans="1:11">
      <c r="A118" s="19"/>
      <c r="B118" s="8" t="s">
        <v>56</v>
      </c>
      <c r="C118" s="10" t="s">
        <v>247</v>
      </c>
      <c r="D118" s="11">
        <v>611021</v>
      </c>
      <c r="E118" s="11" t="s">
        <v>11</v>
      </c>
      <c r="F118" s="2" t="s">
        <v>275</v>
      </c>
      <c r="G118" s="2" t="s">
        <v>12</v>
      </c>
      <c r="H118" s="23">
        <v>2</v>
      </c>
      <c r="I118" s="9">
        <v>160</v>
      </c>
      <c r="J118" s="36">
        <f t="shared" si="4"/>
        <v>320</v>
      </c>
      <c r="K118" s="8"/>
    </row>
    <row r="119" spans="1:11">
      <c r="A119" s="19"/>
      <c r="B119" s="8" t="s">
        <v>56</v>
      </c>
      <c r="C119" s="10" t="s">
        <v>247</v>
      </c>
      <c r="D119" s="11">
        <v>611021</v>
      </c>
      <c r="E119" s="11" t="s">
        <v>11</v>
      </c>
      <c r="F119" s="2" t="s">
        <v>276</v>
      </c>
      <c r="G119" s="2" t="s">
        <v>191</v>
      </c>
      <c r="H119" s="23">
        <v>2</v>
      </c>
      <c r="I119" s="9">
        <v>900</v>
      </c>
      <c r="J119" s="36">
        <f t="shared" si="4"/>
        <v>1800</v>
      </c>
      <c r="K119" s="8"/>
    </row>
    <row r="120" spans="1:11">
      <c r="A120" s="19"/>
      <c r="B120" s="8" t="s">
        <v>56</v>
      </c>
      <c r="C120" s="10" t="s">
        <v>247</v>
      </c>
      <c r="D120" s="11">
        <v>611021</v>
      </c>
      <c r="E120" s="11" t="s">
        <v>11</v>
      </c>
      <c r="F120" s="2" t="s">
        <v>93</v>
      </c>
      <c r="G120" s="2" t="s">
        <v>12</v>
      </c>
      <c r="H120" s="23">
        <v>2</v>
      </c>
      <c r="I120" s="9">
        <v>140</v>
      </c>
      <c r="J120" s="36">
        <f t="shared" si="4"/>
        <v>280</v>
      </c>
      <c r="K120" s="8"/>
    </row>
    <row r="121" spans="1:11">
      <c r="A121" s="19"/>
      <c r="B121" s="8" t="s">
        <v>56</v>
      </c>
      <c r="C121" s="10" t="s">
        <v>247</v>
      </c>
      <c r="D121" s="11">
        <v>611021</v>
      </c>
      <c r="E121" s="11" t="s">
        <v>11</v>
      </c>
      <c r="F121" s="2" t="s">
        <v>277</v>
      </c>
      <c r="G121" s="2" t="s">
        <v>12</v>
      </c>
      <c r="H121" s="23">
        <v>4</v>
      </c>
      <c r="I121" s="9">
        <v>55</v>
      </c>
      <c r="J121" s="36">
        <f t="shared" si="4"/>
        <v>220</v>
      </c>
      <c r="K121" s="8"/>
    </row>
    <row r="122" spans="1:11">
      <c r="A122" s="19"/>
      <c r="B122" s="8" t="s">
        <v>56</v>
      </c>
      <c r="C122" s="10" t="s">
        <v>247</v>
      </c>
      <c r="D122" s="11">
        <v>611021</v>
      </c>
      <c r="E122" s="11" t="s">
        <v>11</v>
      </c>
      <c r="F122" s="2" t="s">
        <v>278</v>
      </c>
      <c r="G122" s="2" t="s">
        <v>12</v>
      </c>
      <c r="H122" s="23">
        <v>15</v>
      </c>
      <c r="I122" s="9">
        <v>55</v>
      </c>
      <c r="J122" s="36">
        <f t="shared" si="4"/>
        <v>825</v>
      </c>
      <c r="K122" s="8"/>
    </row>
    <row r="123" spans="1:11">
      <c r="A123" s="19"/>
      <c r="B123" s="8" t="s">
        <v>56</v>
      </c>
      <c r="C123" s="10" t="s">
        <v>247</v>
      </c>
      <c r="D123" s="11">
        <v>611021</v>
      </c>
      <c r="E123" s="11" t="s">
        <v>11</v>
      </c>
      <c r="F123" s="2" t="s">
        <v>279</v>
      </c>
      <c r="G123" s="2" t="s">
        <v>12</v>
      </c>
      <c r="H123" s="23">
        <v>2</v>
      </c>
      <c r="I123" s="9">
        <v>205</v>
      </c>
      <c r="J123" s="36">
        <f t="shared" si="4"/>
        <v>410</v>
      </c>
      <c r="K123" s="8"/>
    </row>
    <row r="124" spans="1:11">
      <c r="A124" s="19"/>
      <c r="B124" s="8" t="s">
        <v>56</v>
      </c>
      <c r="C124" s="10" t="s">
        <v>247</v>
      </c>
      <c r="D124" s="11">
        <v>611021</v>
      </c>
      <c r="E124" s="11" t="s">
        <v>11</v>
      </c>
      <c r="F124" s="2" t="s">
        <v>280</v>
      </c>
      <c r="G124" s="2" t="s">
        <v>12</v>
      </c>
      <c r="H124" s="23">
        <v>10</v>
      </c>
      <c r="I124" s="9">
        <v>35</v>
      </c>
      <c r="J124" s="36">
        <f t="shared" si="4"/>
        <v>350</v>
      </c>
      <c r="K124" s="8"/>
    </row>
    <row r="125" spans="1:11">
      <c r="A125" s="19"/>
      <c r="B125" s="8" t="s">
        <v>56</v>
      </c>
      <c r="C125" s="10" t="s">
        <v>247</v>
      </c>
      <c r="D125" s="11">
        <v>611021</v>
      </c>
      <c r="E125" s="11" t="s">
        <v>11</v>
      </c>
      <c r="F125" s="2" t="s">
        <v>281</v>
      </c>
      <c r="G125" s="2" t="s">
        <v>12</v>
      </c>
      <c r="H125" s="23">
        <v>3</v>
      </c>
      <c r="I125" s="9">
        <v>450</v>
      </c>
      <c r="J125" s="36">
        <f t="shared" si="4"/>
        <v>1350</v>
      </c>
      <c r="K125" s="8"/>
    </row>
    <row r="126" spans="1:11">
      <c r="A126" s="19"/>
      <c r="B126" s="8" t="s">
        <v>56</v>
      </c>
      <c r="C126" s="10" t="s">
        <v>247</v>
      </c>
      <c r="D126" s="11">
        <v>611021</v>
      </c>
      <c r="E126" s="11" t="s">
        <v>11</v>
      </c>
      <c r="F126" s="2" t="s">
        <v>282</v>
      </c>
      <c r="G126" s="2" t="s">
        <v>12</v>
      </c>
      <c r="H126" s="23">
        <v>10</v>
      </c>
      <c r="I126" s="9">
        <v>150</v>
      </c>
      <c r="J126" s="36">
        <f t="shared" si="4"/>
        <v>1500</v>
      </c>
      <c r="K126" s="8"/>
    </row>
    <row r="127" spans="1:11">
      <c r="A127" s="19"/>
      <c r="B127" s="8" t="s">
        <v>56</v>
      </c>
      <c r="C127" s="10" t="s">
        <v>247</v>
      </c>
      <c r="D127" s="11">
        <v>611021</v>
      </c>
      <c r="E127" s="11" t="s">
        <v>11</v>
      </c>
      <c r="F127" s="2" t="s">
        <v>94</v>
      </c>
      <c r="G127" s="2" t="s">
        <v>12</v>
      </c>
      <c r="H127" s="23">
        <v>1</v>
      </c>
      <c r="I127" s="9">
        <v>250</v>
      </c>
      <c r="J127" s="36">
        <f t="shared" si="4"/>
        <v>250</v>
      </c>
      <c r="K127" s="8"/>
    </row>
    <row r="128" spans="1:11">
      <c r="A128" s="19"/>
      <c r="B128" s="8" t="s">
        <v>56</v>
      </c>
      <c r="C128" s="10" t="s">
        <v>247</v>
      </c>
      <c r="D128" s="11">
        <v>611021</v>
      </c>
      <c r="E128" s="11" t="s">
        <v>11</v>
      </c>
      <c r="F128" s="2" t="s">
        <v>283</v>
      </c>
      <c r="G128" s="2" t="s">
        <v>12</v>
      </c>
      <c r="H128" s="23">
        <v>10</v>
      </c>
      <c r="I128" s="9">
        <v>36</v>
      </c>
      <c r="J128" s="36">
        <f t="shared" si="4"/>
        <v>360</v>
      </c>
      <c r="K128" s="8"/>
    </row>
    <row r="129" spans="1:11">
      <c r="A129" s="19"/>
      <c r="B129" s="8" t="s">
        <v>56</v>
      </c>
      <c r="C129" s="10" t="s">
        <v>247</v>
      </c>
      <c r="D129" s="11">
        <v>611021</v>
      </c>
      <c r="E129" s="11" t="s">
        <v>11</v>
      </c>
      <c r="F129" s="2" t="s">
        <v>294</v>
      </c>
      <c r="G129" s="2" t="s">
        <v>12</v>
      </c>
      <c r="H129" s="23">
        <v>6</v>
      </c>
      <c r="I129" s="9">
        <v>98</v>
      </c>
      <c r="J129" s="36">
        <f t="shared" si="4"/>
        <v>588</v>
      </c>
      <c r="K129" s="8"/>
    </row>
    <row r="130" spans="1:11">
      <c r="A130" s="19"/>
      <c r="B130" s="8" t="s">
        <v>56</v>
      </c>
      <c r="C130" s="10" t="s">
        <v>247</v>
      </c>
      <c r="D130" s="11">
        <v>611021</v>
      </c>
      <c r="E130" s="11" t="s">
        <v>11</v>
      </c>
      <c r="F130" s="2" t="s">
        <v>293</v>
      </c>
      <c r="G130" s="2" t="s">
        <v>12</v>
      </c>
      <c r="H130" s="23">
        <v>20</v>
      </c>
      <c r="I130" s="9">
        <v>12</v>
      </c>
      <c r="J130" s="36">
        <f t="shared" si="4"/>
        <v>240</v>
      </c>
      <c r="K130" s="8"/>
    </row>
    <row r="131" spans="1:11">
      <c r="A131" s="19"/>
      <c r="B131" s="8" t="s">
        <v>56</v>
      </c>
      <c r="C131" s="10" t="s">
        <v>247</v>
      </c>
      <c r="D131" s="11">
        <v>611021</v>
      </c>
      <c r="E131" s="11" t="s">
        <v>11</v>
      </c>
      <c r="F131" s="2" t="s">
        <v>284</v>
      </c>
      <c r="G131" s="2" t="s">
        <v>12</v>
      </c>
      <c r="H131" s="23">
        <v>5</v>
      </c>
      <c r="I131" s="9">
        <v>45</v>
      </c>
      <c r="J131" s="36">
        <f t="shared" si="4"/>
        <v>225</v>
      </c>
      <c r="K131" s="8"/>
    </row>
    <row r="132" spans="1:11">
      <c r="A132" s="19"/>
      <c r="B132" s="8" t="s">
        <v>56</v>
      </c>
      <c r="C132" s="10" t="s">
        <v>247</v>
      </c>
      <c r="D132" s="11">
        <v>611021</v>
      </c>
      <c r="E132" s="11" t="s">
        <v>11</v>
      </c>
      <c r="F132" s="2" t="s">
        <v>285</v>
      </c>
      <c r="G132" s="2" t="s">
        <v>12</v>
      </c>
      <c r="H132" s="23">
        <v>4</v>
      </c>
      <c r="I132" s="9">
        <v>300</v>
      </c>
      <c r="J132" s="36">
        <f t="shared" si="4"/>
        <v>1200</v>
      </c>
      <c r="K132" s="8"/>
    </row>
    <row r="133" spans="1:11">
      <c r="A133" s="19"/>
      <c r="B133" s="8" t="s">
        <v>56</v>
      </c>
      <c r="C133" s="10" t="s">
        <v>247</v>
      </c>
      <c r="D133" s="11">
        <v>611021</v>
      </c>
      <c r="E133" s="11" t="s">
        <v>11</v>
      </c>
      <c r="F133" s="2" t="s">
        <v>286</v>
      </c>
      <c r="G133" s="2" t="s">
        <v>92</v>
      </c>
      <c r="H133" s="23">
        <v>1</v>
      </c>
      <c r="I133" s="9">
        <v>150</v>
      </c>
      <c r="J133" s="36">
        <f t="shared" si="4"/>
        <v>150</v>
      </c>
      <c r="K133" s="8"/>
    </row>
    <row r="134" spans="1:11">
      <c r="A134" s="19"/>
      <c r="B134" s="8" t="s">
        <v>56</v>
      </c>
      <c r="C134" s="10" t="s">
        <v>247</v>
      </c>
      <c r="D134" s="11">
        <v>611021</v>
      </c>
      <c r="E134" s="11" t="s">
        <v>11</v>
      </c>
      <c r="F134" s="2" t="s">
        <v>287</v>
      </c>
      <c r="G134" s="2" t="s">
        <v>92</v>
      </c>
      <c r="H134" s="23">
        <v>3</v>
      </c>
      <c r="I134" s="9">
        <v>150</v>
      </c>
      <c r="J134" s="36">
        <f t="shared" si="4"/>
        <v>450</v>
      </c>
      <c r="K134" s="8"/>
    </row>
    <row r="135" spans="1:11">
      <c r="A135" s="19"/>
      <c r="B135" s="8" t="s">
        <v>56</v>
      </c>
      <c r="C135" s="10" t="s">
        <v>247</v>
      </c>
      <c r="D135" s="11">
        <v>611021</v>
      </c>
      <c r="E135" s="11" t="s">
        <v>11</v>
      </c>
      <c r="F135" s="2" t="s">
        <v>38</v>
      </c>
      <c r="G135" s="2" t="s">
        <v>27</v>
      </c>
      <c r="H135" s="23">
        <v>400</v>
      </c>
      <c r="I135" s="9">
        <v>6.5</v>
      </c>
      <c r="J135" s="36">
        <f t="shared" si="4"/>
        <v>2600</v>
      </c>
      <c r="K135" s="8"/>
    </row>
    <row r="136" spans="1:11">
      <c r="A136" s="19"/>
      <c r="B136" s="8" t="s">
        <v>56</v>
      </c>
      <c r="C136" s="10" t="s">
        <v>247</v>
      </c>
      <c r="D136" s="11">
        <v>611021</v>
      </c>
      <c r="E136" s="11" t="s">
        <v>11</v>
      </c>
      <c r="F136" s="2" t="s">
        <v>288</v>
      </c>
      <c r="G136" s="2" t="s">
        <v>27</v>
      </c>
      <c r="H136" s="23">
        <v>40</v>
      </c>
      <c r="I136" s="9">
        <v>24.5</v>
      </c>
      <c r="J136" s="36">
        <f t="shared" si="4"/>
        <v>980</v>
      </c>
      <c r="K136" s="8"/>
    </row>
    <row r="137" spans="1:11">
      <c r="A137" s="19"/>
      <c r="B137" s="8" t="s">
        <v>56</v>
      </c>
      <c r="C137" s="10" t="s">
        <v>247</v>
      </c>
      <c r="D137" s="11">
        <v>611021</v>
      </c>
      <c r="E137" s="11" t="s">
        <v>11</v>
      </c>
      <c r="F137" s="2" t="s">
        <v>289</v>
      </c>
      <c r="G137" s="2" t="s">
        <v>12</v>
      </c>
      <c r="H137" s="23">
        <v>5</v>
      </c>
      <c r="I137" s="9">
        <v>400</v>
      </c>
      <c r="J137" s="36">
        <f t="shared" si="4"/>
        <v>2000</v>
      </c>
      <c r="K137" s="8"/>
    </row>
    <row r="138" spans="1:11">
      <c r="A138" s="19"/>
      <c r="B138" s="8" t="s">
        <v>56</v>
      </c>
      <c r="C138" s="10" t="s">
        <v>247</v>
      </c>
      <c r="D138" s="11">
        <v>611021</v>
      </c>
      <c r="E138" s="11" t="s">
        <v>11</v>
      </c>
      <c r="F138" s="2" t="s">
        <v>290</v>
      </c>
      <c r="G138" s="2" t="s">
        <v>40</v>
      </c>
      <c r="H138" s="23">
        <v>30</v>
      </c>
      <c r="I138" s="9">
        <v>16.100000000000001</v>
      </c>
      <c r="J138" s="36">
        <f t="shared" si="4"/>
        <v>483.00000000000006</v>
      </c>
      <c r="K138" s="8"/>
    </row>
    <row r="139" spans="1:11">
      <c r="A139" s="19"/>
      <c r="B139" s="8" t="s">
        <v>56</v>
      </c>
      <c r="C139" s="10" t="s">
        <v>247</v>
      </c>
      <c r="D139" s="11">
        <v>611021</v>
      </c>
      <c r="E139" s="11" t="s">
        <v>11</v>
      </c>
      <c r="F139" s="2" t="s">
        <v>291</v>
      </c>
      <c r="G139" s="2" t="s">
        <v>40</v>
      </c>
      <c r="H139" s="23">
        <v>20</v>
      </c>
      <c r="I139" s="9">
        <v>10</v>
      </c>
      <c r="J139" s="36">
        <f t="shared" si="4"/>
        <v>200</v>
      </c>
      <c r="K139" s="8"/>
    </row>
    <row r="140" spans="1:11">
      <c r="A140" s="19"/>
      <c r="B140" s="8" t="s">
        <v>56</v>
      </c>
      <c r="C140" s="10" t="s">
        <v>247</v>
      </c>
      <c r="D140" s="11">
        <v>611021</v>
      </c>
      <c r="E140" s="11" t="s">
        <v>11</v>
      </c>
      <c r="F140" s="2" t="s">
        <v>292</v>
      </c>
      <c r="G140" s="2" t="s">
        <v>192</v>
      </c>
      <c r="H140" s="23">
        <v>1</v>
      </c>
      <c r="I140" s="9">
        <v>550</v>
      </c>
      <c r="J140" s="36">
        <f t="shared" si="4"/>
        <v>550</v>
      </c>
      <c r="K140" s="8"/>
    </row>
    <row r="141" spans="1:11">
      <c r="A141" s="19"/>
      <c r="B141" s="8" t="s">
        <v>56</v>
      </c>
      <c r="C141" s="10" t="s">
        <v>247</v>
      </c>
      <c r="D141" s="11">
        <v>611021</v>
      </c>
      <c r="E141" s="11" t="s">
        <v>11</v>
      </c>
      <c r="F141" s="2" t="s">
        <v>95</v>
      </c>
      <c r="G141" s="2" t="s">
        <v>12</v>
      </c>
      <c r="H141" s="23">
        <v>5</v>
      </c>
      <c r="I141" s="9">
        <v>110</v>
      </c>
      <c r="J141" s="36">
        <f t="shared" si="4"/>
        <v>550</v>
      </c>
      <c r="K141" s="8"/>
    </row>
    <row r="142" spans="1:11">
      <c r="A142" s="19"/>
      <c r="B142" s="8" t="s">
        <v>56</v>
      </c>
      <c r="C142" s="10" t="s">
        <v>247</v>
      </c>
      <c r="D142" s="11">
        <v>611021</v>
      </c>
      <c r="E142" s="11" t="s">
        <v>11</v>
      </c>
      <c r="F142" s="2" t="s">
        <v>295</v>
      </c>
      <c r="G142" s="2" t="s">
        <v>12</v>
      </c>
      <c r="H142" s="23">
        <v>10</v>
      </c>
      <c r="I142" s="9">
        <v>55.9</v>
      </c>
      <c r="J142" s="36">
        <f t="shared" si="4"/>
        <v>559</v>
      </c>
      <c r="K142" s="8"/>
    </row>
    <row r="143" spans="1:11">
      <c r="A143" s="19"/>
      <c r="B143" s="8" t="s">
        <v>56</v>
      </c>
      <c r="C143" s="10" t="s">
        <v>247</v>
      </c>
      <c r="D143" s="11">
        <v>611021</v>
      </c>
      <c r="E143" s="11" t="s">
        <v>11</v>
      </c>
      <c r="F143" s="2" t="s">
        <v>296</v>
      </c>
      <c r="G143" s="2" t="s">
        <v>12</v>
      </c>
      <c r="H143" s="23">
        <v>5</v>
      </c>
      <c r="I143" s="9">
        <v>47.8</v>
      </c>
      <c r="J143" s="36">
        <f t="shared" si="4"/>
        <v>239</v>
      </c>
      <c r="K143" s="8"/>
    </row>
    <row r="144" spans="1:11">
      <c r="A144" s="19"/>
      <c r="B144" s="8" t="s">
        <v>56</v>
      </c>
      <c r="C144" s="10" t="s">
        <v>247</v>
      </c>
      <c r="D144" s="11">
        <v>611021</v>
      </c>
      <c r="E144" s="11" t="s">
        <v>11</v>
      </c>
      <c r="F144" s="2" t="s">
        <v>297</v>
      </c>
      <c r="G144" s="2" t="s">
        <v>12</v>
      </c>
      <c r="H144" s="23">
        <v>6</v>
      </c>
      <c r="I144" s="9">
        <v>65</v>
      </c>
      <c r="J144" s="36">
        <f t="shared" si="4"/>
        <v>390</v>
      </c>
      <c r="K144" s="8"/>
    </row>
    <row r="145" spans="1:11">
      <c r="A145" s="19"/>
      <c r="B145" s="8" t="s">
        <v>56</v>
      </c>
      <c r="C145" s="10" t="s">
        <v>247</v>
      </c>
      <c r="D145" s="11">
        <v>611021</v>
      </c>
      <c r="E145" s="11" t="s">
        <v>11</v>
      </c>
      <c r="F145" s="2" t="s">
        <v>298</v>
      </c>
      <c r="G145" s="2" t="s">
        <v>12</v>
      </c>
      <c r="H145" s="23">
        <v>5</v>
      </c>
      <c r="I145" s="9">
        <v>57.6</v>
      </c>
      <c r="J145" s="36">
        <f t="shared" si="4"/>
        <v>288</v>
      </c>
      <c r="K145" s="8"/>
    </row>
    <row r="146" spans="1:11">
      <c r="A146" s="19"/>
      <c r="B146" s="8" t="s">
        <v>56</v>
      </c>
      <c r="C146" s="10" t="s">
        <v>247</v>
      </c>
      <c r="D146" s="11">
        <v>611021</v>
      </c>
      <c r="E146" s="11" t="s">
        <v>11</v>
      </c>
      <c r="F146" s="2" t="s">
        <v>299</v>
      </c>
      <c r="G146" s="2" t="s">
        <v>192</v>
      </c>
      <c r="H146" s="23">
        <v>1</v>
      </c>
      <c r="I146" s="9">
        <v>54</v>
      </c>
      <c r="J146" s="36">
        <f t="shared" si="4"/>
        <v>54</v>
      </c>
      <c r="K146" s="8"/>
    </row>
    <row r="147" spans="1:11">
      <c r="A147" s="19"/>
      <c r="B147" s="8" t="s">
        <v>56</v>
      </c>
      <c r="C147" s="10" t="s">
        <v>247</v>
      </c>
      <c r="D147" s="11">
        <v>611021</v>
      </c>
      <c r="E147" s="11" t="s">
        <v>11</v>
      </c>
      <c r="F147" s="2" t="s">
        <v>300</v>
      </c>
      <c r="G147" s="2" t="s">
        <v>40</v>
      </c>
      <c r="H147" s="23">
        <v>50</v>
      </c>
      <c r="I147" s="9">
        <v>40</v>
      </c>
      <c r="J147" s="36">
        <f t="shared" si="4"/>
        <v>2000</v>
      </c>
      <c r="K147" s="8"/>
    </row>
    <row r="148" spans="1:11">
      <c r="A148" s="19"/>
      <c r="B148" s="8" t="s">
        <v>56</v>
      </c>
      <c r="C148" s="10" t="s">
        <v>247</v>
      </c>
      <c r="D148" s="11">
        <v>611021</v>
      </c>
      <c r="E148" s="11" t="s">
        <v>11</v>
      </c>
      <c r="F148" s="2" t="s">
        <v>301</v>
      </c>
      <c r="G148" s="2" t="s">
        <v>12</v>
      </c>
      <c r="H148" s="23">
        <v>1</v>
      </c>
      <c r="I148" s="9">
        <v>220</v>
      </c>
      <c r="J148" s="36">
        <f t="shared" si="4"/>
        <v>220</v>
      </c>
      <c r="K148" s="8"/>
    </row>
    <row r="149" spans="1:11">
      <c r="A149" s="19"/>
      <c r="B149" s="8" t="s">
        <v>56</v>
      </c>
      <c r="C149" s="10" t="s">
        <v>247</v>
      </c>
      <c r="D149" s="11">
        <v>611021</v>
      </c>
      <c r="E149" s="11" t="s">
        <v>11</v>
      </c>
      <c r="F149" s="2" t="s">
        <v>302</v>
      </c>
      <c r="G149" s="2" t="s">
        <v>12</v>
      </c>
      <c r="H149" s="23">
        <v>2</v>
      </c>
      <c r="I149" s="9">
        <v>700</v>
      </c>
      <c r="J149" s="36">
        <f t="shared" si="4"/>
        <v>1400</v>
      </c>
      <c r="K149" s="8"/>
    </row>
    <row r="150" spans="1:11">
      <c r="A150" s="19"/>
      <c r="B150" s="8" t="s">
        <v>56</v>
      </c>
      <c r="C150" s="10" t="s">
        <v>247</v>
      </c>
      <c r="D150" s="11">
        <v>611021</v>
      </c>
      <c r="E150" s="11">
        <v>1514</v>
      </c>
      <c r="F150" s="2" t="s">
        <v>145</v>
      </c>
      <c r="G150" s="2" t="s">
        <v>92</v>
      </c>
      <c r="H150" s="23">
        <v>55.55</v>
      </c>
      <c r="I150" s="9">
        <v>54</v>
      </c>
      <c r="J150" s="36">
        <v>3000</v>
      </c>
      <c r="K150" s="8"/>
    </row>
    <row r="151" spans="1:11">
      <c r="A151" s="12"/>
      <c r="B151" s="4"/>
      <c r="C151" s="17"/>
      <c r="D151" s="12"/>
      <c r="E151" s="12"/>
      <c r="F151" s="4" t="s">
        <v>14</v>
      </c>
      <c r="G151" s="4"/>
      <c r="H151" s="22"/>
      <c r="I151" s="5"/>
      <c r="J151" s="5">
        <f>SUM(J89:J150)</f>
        <v>90041.14</v>
      </c>
      <c r="K151" s="4"/>
    </row>
    <row r="152" spans="1:11">
      <c r="A152" s="11">
        <v>5</v>
      </c>
      <c r="B152" s="2" t="s">
        <v>37</v>
      </c>
      <c r="C152" s="10" t="s">
        <v>115</v>
      </c>
      <c r="D152" s="11">
        <v>613242</v>
      </c>
      <c r="E152" s="11" t="s">
        <v>125</v>
      </c>
      <c r="F152" s="2" t="s">
        <v>101</v>
      </c>
      <c r="G152" s="2" t="s">
        <v>12</v>
      </c>
      <c r="H152" s="21">
        <v>30</v>
      </c>
      <c r="I152" s="3">
        <v>1073</v>
      </c>
      <c r="J152" s="36">
        <f t="shared" ref="J152:J155" si="5">H152*I152</f>
        <v>32190</v>
      </c>
      <c r="K152" s="2"/>
    </row>
    <row r="153" spans="1:11">
      <c r="A153" s="11"/>
      <c r="B153" s="2" t="s">
        <v>37</v>
      </c>
      <c r="C153" s="10" t="s">
        <v>115</v>
      </c>
      <c r="D153" s="11">
        <v>611021</v>
      </c>
      <c r="E153" s="11">
        <v>1113</v>
      </c>
      <c r="F153" s="2" t="s">
        <v>171</v>
      </c>
      <c r="G153" s="2" t="s">
        <v>12</v>
      </c>
      <c r="H153" s="21">
        <v>1</v>
      </c>
      <c r="I153" s="3">
        <v>5046.66</v>
      </c>
      <c r="J153" s="36">
        <f t="shared" si="5"/>
        <v>5046.66</v>
      </c>
      <c r="K153" s="2"/>
    </row>
    <row r="154" spans="1:11">
      <c r="A154" s="11"/>
      <c r="B154" s="2" t="s">
        <v>37</v>
      </c>
      <c r="C154" s="10" t="s">
        <v>115</v>
      </c>
      <c r="D154" s="11">
        <v>613242</v>
      </c>
      <c r="E154" s="11" t="s">
        <v>134</v>
      </c>
      <c r="F154" s="2" t="s">
        <v>212</v>
      </c>
      <c r="G154" s="2" t="s">
        <v>12</v>
      </c>
      <c r="H154" s="23">
        <v>4</v>
      </c>
      <c r="I154" s="9">
        <v>682.4</v>
      </c>
      <c r="J154" s="36">
        <f t="shared" si="5"/>
        <v>2729.6</v>
      </c>
      <c r="K154" s="2"/>
    </row>
    <row r="155" spans="1:11">
      <c r="A155" s="11"/>
      <c r="B155" s="2" t="s">
        <v>37</v>
      </c>
      <c r="C155" s="10" t="s">
        <v>115</v>
      </c>
      <c r="D155" s="11">
        <v>611021</v>
      </c>
      <c r="E155" s="11" t="s">
        <v>134</v>
      </c>
      <c r="F155" s="2" t="s">
        <v>194</v>
      </c>
      <c r="G155" s="2" t="s">
        <v>12</v>
      </c>
      <c r="H155" s="23">
        <v>1</v>
      </c>
      <c r="I155" s="9">
        <v>1974.78</v>
      </c>
      <c r="J155" s="36">
        <f t="shared" si="5"/>
        <v>1974.78</v>
      </c>
      <c r="K155" s="2"/>
    </row>
    <row r="156" spans="1:11">
      <c r="A156" s="11"/>
      <c r="B156" s="2" t="s">
        <v>37</v>
      </c>
      <c r="C156" s="10" t="s">
        <v>211</v>
      </c>
      <c r="D156" s="11">
        <v>611021</v>
      </c>
      <c r="E156" s="11">
        <v>1514</v>
      </c>
      <c r="F156" s="2" t="s">
        <v>213</v>
      </c>
      <c r="G156" s="2" t="s">
        <v>12</v>
      </c>
      <c r="H156" s="23">
        <v>60</v>
      </c>
      <c r="I156" s="30">
        <v>53.332999999999998</v>
      </c>
      <c r="J156" s="36">
        <v>3200</v>
      </c>
      <c r="K156" s="2"/>
    </row>
    <row r="157" spans="1:11">
      <c r="A157" s="11"/>
      <c r="B157" s="2" t="s">
        <v>37</v>
      </c>
      <c r="C157" s="10" t="s">
        <v>127</v>
      </c>
      <c r="D157" s="11">
        <v>611021</v>
      </c>
      <c r="E157" s="11">
        <v>1113</v>
      </c>
      <c r="F157" s="2" t="s">
        <v>303</v>
      </c>
      <c r="G157" s="2" t="s">
        <v>12</v>
      </c>
      <c r="H157" s="23">
        <v>5</v>
      </c>
      <c r="I157" s="30">
        <v>50</v>
      </c>
      <c r="J157" s="36">
        <v>250</v>
      </c>
      <c r="K157" s="2"/>
    </row>
    <row r="158" spans="1:11">
      <c r="A158" s="11"/>
      <c r="B158" s="2" t="s">
        <v>37</v>
      </c>
      <c r="C158" s="10" t="s">
        <v>127</v>
      </c>
      <c r="D158" s="11">
        <v>613242</v>
      </c>
      <c r="E158" s="11" t="s">
        <v>134</v>
      </c>
      <c r="F158" s="2" t="s">
        <v>190</v>
      </c>
      <c r="G158" s="2" t="s">
        <v>12</v>
      </c>
      <c r="H158" s="23">
        <v>5</v>
      </c>
      <c r="I158" s="30">
        <v>10</v>
      </c>
      <c r="J158" s="36">
        <v>50</v>
      </c>
      <c r="K158" s="2"/>
    </row>
    <row r="159" spans="1:11">
      <c r="A159" s="11"/>
      <c r="B159" s="2" t="s">
        <v>37</v>
      </c>
      <c r="C159" s="10" t="s">
        <v>127</v>
      </c>
      <c r="D159" s="11">
        <v>613242</v>
      </c>
      <c r="E159" s="11" t="s">
        <v>134</v>
      </c>
      <c r="F159" s="2" t="s">
        <v>202</v>
      </c>
      <c r="G159" s="2" t="s">
        <v>12</v>
      </c>
      <c r="H159" s="23">
        <v>200</v>
      </c>
      <c r="I159" s="9">
        <v>0.6</v>
      </c>
      <c r="J159" s="36">
        <v>120</v>
      </c>
      <c r="K159" s="2"/>
    </row>
    <row r="160" spans="1:11">
      <c r="A160" s="11"/>
      <c r="B160" s="2" t="s">
        <v>37</v>
      </c>
      <c r="C160" s="10" t="s">
        <v>127</v>
      </c>
      <c r="D160" s="11">
        <v>613242</v>
      </c>
      <c r="E160" s="11" t="s">
        <v>134</v>
      </c>
      <c r="F160" s="2" t="s">
        <v>234</v>
      </c>
      <c r="G160" s="2" t="s">
        <v>12</v>
      </c>
      <c r="H160" s="23">
        <v>400</v>
      </c>
      <c r="I160" s="9">
        <v>0.5</v>
      </c>
      <c r="J160" s="36">
        <v>200</v>
      </c>
      <c r="K160" s="2"/>
    </row>
    <row r="161" spans="1:11">
      <c r="A161" s="11"/>
      <c r="B161" s="2" t="s">
        <v>37</v>
      </c>
      <c r="C161" s="10" t="s">
        <v>127</v>
      </c>
      <c r="D161" s="11">
        <v>613242</v>
      </c>
      <c r="E161" s="11" t="s">
        <v>134</v>
      </c>
      <c r="F161" s="2" t="s">
        <v>142</v>
      </c>
      <c r="G161" s="2" t="s">
        <v>12</v>
      </c>
      <c r="H161" s="23">
        <v>200</v>
      </c>
      <c r="I161" s="9">
        <v>0.5</v>
      </c>
      <c r="J161" s="36">
        <v>100</v>
      </c>
      <c r="K161" s="2"/>
    </row>
    <row r="162" spans="1:11">
      <c r="A162" s="11"/>
      <c r="B162" s="2" t="s">
        <v>37</v>
      </c>
      <c r="C162" s="10" t="s">
        <v>127</v>
      </c>
      <c r="D162" s="11">
        <v>613242</v>
      </c>
      <c r="E162" s="11" t="s">
        <v>134</v>
      </c>
      <c r="F162" s="2" t="s">
        <v>193</v>
      </c>
      <c r="G162" s="2" t="s">
        <v>12</v>
      </c>
      <c r="H162" s="23">
        <v>200</v>
      </c>
      <c r="I162" s="9">
        <v>1</v>
      </c>
      <c r="J162" s="36">
        <v>200</v>
      </c>
      <c r="K162" s="2"/>
    </row>
    <row r="163" spans="1:11">
      <c r="A163" s="11"/>
      <c r="B163" s="2" t="s">
        <v>37</v>
      </c>
      <c r="C163" s="10" t="s">
        <v>127</v>
      </c>
      <c r="D163" s="11">
        <v>613242</v>
      </c>
      <c r="E163" s="11" t="s">
        <v>134</v>
      </c>
      <c r="F163" s="2" t="s">
        <v>176</v>
      </c>
      <c r="G163" s="2" t="s">
        <v>12</v>
      </c>
      <c r="H163" s="23">
        <v>20</v>
      </c>
      <c r="I163" s="9">
        <v>5</v>
      </c>
      <c r="J163" s="36">
        <v>100</v>
      </c>
      <c r="K163" s="2"/>
    </row>
    <row r="164" spans="1:11">
      <c r="A164" s="11"/>
      <c r="B164" s="2" t="s">
        <v>37</v>
      </c>
      <c r="C164" s="10" t="s">
        <v>127</v>
      </c>
      <c r="D164" s="11">
        <v>611021</v>
      </c>
      <c r="E164" s="11">
        <v>1114</v>
      </c>
      <c r="F164" s="2" t="s">
        <v>251</v>
      </c>
      <c r="G164" s="2" t="s">
        <v>12</v>
      </c>
      <c r="H164" s="23">
        <v>2</v>
      </c>
      <c r="I164" s="9">
        <v>600</v>
      </c>
      <c r="J164" s="36">
        <v>1200</v>
      </c>
      <c r="K164" s="2"/>
    </row>
    <row r="165" spans="1:11">
      <c r="A165" s="11"/>
      <c r="B165" s="2" t="s">
        <v>37</v>
      </c>
      <c r="C165" s="10" t="s">
        <v>127</v>
      </c>
      <c r="D165" s="11">
        <v>611021</v>
      </c>
      <c r="E165" s="11">
        <v>1114</v>
      </c>
      <c r="F165" s="2" t="s">
        <v>304</v>
      </c>
      <c r="G165" s="2" t="s">
        <v>12</v>
      </c>
      <c r="H165" s="23">
        <v>1</v>
      </c>
      <c r="I165" s="9">
        <v>800</v>
      </c>
      <c r="J165" s="36">
        <v>800</v>
      </c>
      <c r="K165" s="2"/>
    </row>
    <row r="166" spans="1:11">
      <c r="A166" s="11"/>
      <c r="B166" s="2" t="s">
        <v>37</v>
      </c>
      <c r="C166" s="10" t="s">
        <v>127</v>
      </c>
      <c r="D166" s="11">
        <v>611021</v>
      </c>
      <c r="E166" s="11">
        <v>1114</v>
      </c>
      <c r="F166" s="2" t="s">
        <v>178</v>
      </c>
      <c r="G166" s="2" t="s">
        <v>12</v>
      </c>
      <c r="H166" s="23">
        <v>20</v>
      </c>
      <c r="I166" s="9">
        <v>250</v>
      </c>
      <c r="J166" s="36">
        <v>5000</v>
      </c>
      <c r="K166" s="2"/>
    </row>
    <row r="167" spans="1:11">
      <c r="A167" s="11"/>
      <c r="B167" s="2" t="s">
        <v>37</v>
      </c>
      <c r="C167" s="10" t="s">
        <v>127</v>
      </c>
      <c r="D167" s="11">
        <v>611021</v>
      </c>
      <c r="E167" s="11">
        <v>1114</v>
      </c>
      <c r="F167" s="2" t="s">
        <v>73</v>
      </c>
      <c r="G167" s="2" t="s">
        <v>12</v>
      </c>
      <c r="H167" s="23">
        <v>7</v>
      </c>
      <c r="I167" s="9">
        <v>100</v>
      </c>
      <c r="J167" s="36">
        <v>700</v>
      </c>
      <c r="K167" s="2"/>
    </row>
    <row r="168" spans="1:11">
      <c r="A168" s="11"/>
      <c r="B168" s="2" t="s">
        <v>37</v>
      </c>
      <c r="C168" s="10" t="s">
        <v>127</v>
      </c>
      <c r="D168" s="11">
        <v>613242</v>
      </c>
      <c r="E168" s="11" t="s">
        <v>125</v>
      </c>
      <c r="F168" s="2" t="s">
        <v>305</v>
      </c>
      <c r="G168" s="2" t="s">
        <v>12</v>
      </c>
      <c r="H168" s="23">
        <v>1</v>
      </c>
      <c r="I168" s="9">
        <v>350</v>
      </c>
      <c r="J168" s="36">
        <v>350</v>
      </c>
      <c r="K168" s="2"/>
    </row>
    <row r="169" spans="1:11">
      <c r="A169" s="11"/>
      <c r="B169" s="2" t="s">
        <v>37</v>
      </c>
      <c r="C169" s="10" t="s">
        <v>127</v>
      </c>
      <c r="D169" s="11">
        <v>613242</v>
      </c>
      <c r="E169" s="11" t="s">
        <v>125</v>
      </c>
      <c r="F169" s="2" t="s">
        <v>69</v>
      </c>
      <c r="G169" s="2" t="s">
        <v>12</v>
      </c>
      <c r="H169" s="23">
        <v>5</v>
      </c>
      <c r="I169" s="9">
        <v>20</v>
      </c>
      <c r="J169" s="36">
        <v>100</v>
      </c>
      <c r="K169" s="2"/>
    </row>
    <row r="170" spans="1:11">
      <c r="A170" s="11"/>
      <c r="B170" s="2" t="s">
        <v>37</v>
      </c>
      <c r="C170" s="10" t="s">
        <v>127</v>
      </c>
      <c r="D170" s="11">
        <v>613242</v>
      </c>
      <c r="E170" s="11" t="s">
        <v>125</v>
      </c>
      <c r="F170" s="2" t="s">
        <v>181</v>
      </c>
      <c r="G170" s="2" t="s">
        <v>12</v>
      </c>
      <c r="H170" s="23">
        <v>5</v>
      </c>
      <c r="I170" s="9">
        <v>25</v>
      </c>
      <c r="J170" s="36">
        <v>125</v>
      </c>
      <c r="K170" s="2"/>
    </row>
    <row r="171" spans="1:11">
      <c r="A171" s="11"/>
      <c r="B171" s="2" t="s">
        <v>37</v>
      </c>
      <c r="C171" s="10" t="s">
        <v>127</v>
      </c>
      <c r="D171" s="11">
        <v>613242</v>
      </c>
      <c r="E171" s="11" t="s">
        <v>125</v>
      </c>
      <c r="F171" s="2" t="s">
        <v>306</v>
      </c>
      <c r="G171" s="2" t="s">
        <v>12</v>
      </c>
      <c r="H171" s="23">
        <v>52.5</v>
      </c>
      <c r="I171" s="9">
        <v>10</v>
      </c>
      <c r="J171" s="36">
        <v>525</v>
      </c>
      <c r="K171" s="2"/>
    </row>
    <row r="172" spans="1:11">
      <c r="A172" s="11"/>
      <c r="B172" s="2" t="s">
        <v>37</v>
      </c>
      <c r="C172" s="10" t="s">
        <v>127</v>
      </c>
      <c r="D172" s="11">
        <v>613242</v>
      </c>
      <c r="E172" s="11" t="s">
        <v>134</v>
      </c>
      <c r="F172" s="2" t="s">
        <v>45</v>
      </c>
      <c r="G172" s="2" t="s">
        <v>12</v>
      </c>
      <c r="H172" s="23">
        <v>1</v>
      </c>
      <c r="I172" s="9">
        <v>20</v>
      </c>
      <c r="J172" s="36">
        <v>20</v>
      </c>
      <c r="K172" s="2"/>
    </row>
    <row r="173" spans="1:11">
      <c r="A173" s="11"/>
      <c r="B173" s="2" t="s">
        <v>37</v>
      </c>
      <c r="C173" s="10" t="s">
        <v>127</v>
      </c>
      <c r="D173" s="11">
        <v>613242</v>
      </c>
      <c r="E173" s="11" t="s">
        <v>134</v>
      </c>
      <c r="F173" s="2" t="s">
        <v>102</v>
      </c>
      <c r="G173" s="2" t="s">
        <v>12</v>
      </c>
      <c r="H173" s="23">
        <v>3</v>
      </c>
      <c r="I173" s="9">
        <v>15</v>
      </c>
      <c r="J173" s="36">
        <v>45</v>
      </c>
      <c r="K173" s="2"/>
    </row>
    <row r="174" spans="1:11">
      <c r="A174" s="11"/>
      <c r="B174" s="2" t="s">
        <v>37</v>
      </c>
      <c r="C174" s="10" t="s">
        <v>127</v>
      </c>
      <c r="D174" s="11">
        <v>613242</v>
      </c>
      <c r="E174" s="11" t="s">
        <v>134</v>
      </c>
      <c r="F174" s="2" t="s">
        <v>22</v>
      </c>
      <c r="G174" s="2" t="s">
        <v>12</v>
      </c>
      <c r="H174" s="23">
        <v>30</v>
      </c>
      <c r="I174" s="9">
        <v>10</v>
      </c>
      <c r="J174" s="36">
        <v>300</v>
      </c>
      <c r="K174" s="2"/>
    </row>
    <row r="175" spans="1:11">
      <c r="A175" s="11"/>
      <c r="B175" s="2" t="s">
        <v>37</v>
      </c>
      <c r="C175" s="10" t="s">
        <v>127</v>
      </c>
      <c r="D175" s="11">
        <v>613242</v>
      </c>
      <c r="E175" s="11" t="s">
        <v>134</v>
      </c>
      <c r="F175" s="2" t="s">
        <v>106</v>
      </c>
      <c r="G175" s="2" t="s">
        <v>12</v>
      </c>
      <c r="H175" s="23">
        <v>30</v>
      </c>
      <c r="I175" s="9">
        <v>15</v>
      </c>
      <c r="J175" s="36">
        <v>450</v>
      </c>
      <c r="K175" s="2"/>
    </row>
    <row r="176" spans="1:11">
      <c r="A176" s="11"/>
      <c r="B176" s="2" t="s">
        <v>37</v>
      </c>
      <c r="C176" s="10" t="s">
        <v>127</v>
      </c>
      <c r="D176" s="11">
        <v>613242</v>
      </c>
      <c r="E176" s="11" t="s">
        <v>125</v>
      </c>
      <c r="F176" s="2" t="s">
        <v>182</v>
      </c>
      <c r="G176" s="2" t="s">
        <v>12</v>
      </c>
      <c r="H176" s="23">
        <v>12</v>
      </c>
      <c r="I176" s="9">
        <v>40</v>
      </c>
      <c r="J176" s="36">
        <v>480</v>
      </c>
      <c r="K176" s="2"/>
    </row>
    <row r="177" spans="1:11">
      <c r="A177" s="11"/>
      <c r="B177" s="2" t="s">
        <v>37</v>
      </c>
      <c r="C177" s="10" t="s">
        <v>127</v>
      </c>
      <c r="D177" s="11">
        <v>613242</v>
      </c>
      <c r="E177" s="11" t="s">
        <v>125</v>
      </c>
      <c r="F177" s="2" t="s">
        <v>183</v>
      </c>
      <c r="G177" s="2" t="s">
        <v>12</v>
      </c>
      <c r="H177" s="23">
        <v>1</v>
      </c>
      <c r="I177" s="9">
        <v>500</v>
      </c>
      <c r="J177" s="36">
        <v>500</v>
      </c>
      <c r="K177" s="2"/>
    </row>
    <row r="178" spans="1:11">
      <c r="A178" s="11"/>
      <c r="B178" s="2" t="s">
        <v>37</v>
      </c>
      <c r="C178" s="10" t="s">
        <v>127</v>
      </c>
      <c r="D178" s="11">
        <v>613242</v>
      </c>
      <c r="E178" s="11" t="s">
        <v>125</v>
      </c>
      <c r="F178" s="2" t="s">
        <v>254</v>
      </c>
      <c r="G178" s="2" t="s">
        <v>12</v>
      </c>
      <c r="H178" s="23">
        <v>12</v>
      </c>
      <c r="I178" s="9">
        <v>50</v>
      </c>
      <c r="J178" s="36">
        <v>600</v>
      </c>
      <c r="K178" s="2"/>
    </row>
    <row r="179" spans="1:11">
      <c r="A179" s="11"/>
      <c r="B179" s="2" t="s">
        <v>37</v>
      </c>
      <c r="C179" s="10" t="s">
        <v>127</v>
      </c>
      <c r="D179" s="11">
        <v>613242</v>
      </c>
      <c r="E179" s="11" t="s">
        <v>125</v>
      </c>
      <c r="F179" s="2" t="s">
        <v>235</v>
      </c>
      <c r="G179" s="2" t="s">
        <v>12</v>
      </c>
      <c r="H179" s="23">
        <v>12</v>
      </c>
      <c r="I179" s="9">
        <v>50</v>
      </c>
      <c r="J179" s="36">
        <v>600</v>
      </c>
      <c r="K179" s="2"/>
    </row>
    <row r="180" spans="1:11">
      <c r="A180" s="11"/>
      <c r="B180" s="2" t="s">
        <v>37</v>
      </c>
      <c r="C180" s="10" t="s">
        <v>127</v>
      </c>
      <c r="D180" s="11">
        <v>613242</v>
      </c>
      <c r="E180" s="11" t="s">
        <v>125</v>
      </c>
      <c r="F180" s="2" t="s">
        <v>185</v>
      </c>
      <c r="G180" s="2" t="s">
        <v>12</v>
      </c>
      <c r="H180" s="23">
        <v>20</v>
      </c>
      <c r="I180" s="9">
        <v>60</v>
      </c>
      <c r="J180" s="36">
        <v>1200</v>
      </c>
      <c r="K180" s="2"/>
    </row>
    <row r="181" spans="1:11">
      <c r="A181" s="11"/>
      <c r="B181" s="2" t="s">
        <v>37</v>
      </c>
      <c r="C181" s="10" t="s">
        <v>127</v>
      </c>
      <c r="D181" s="11">
        <v>613242</v>
      </c>
      <c r="E181" s="11" t="s">
        <v>125</v>
      </c>
      <c r="F181" s="2" t="s">
        <v>186</v>
      </c>
      <c r="G181" s="2" t="s">
        <v>12</v>
      </c>
      <c r="H181" s="23">
        <v>1</v>
      </c>
      <c r="I181" s="9">
        <v>200</v>
      </c>
      <c r="J181" s="36">
        <v>200</v>
      </c>
      <c r="K181" s="2"/>
    </row>
    <row r="182" spans="1:11">
      <c r="A182" s="11"/>
      <c r="B182" s="2" t="s">
        <v>37</v>
      </c>
      <c r="C182" s="10" t="s">
        <v>127</v>
      </c>
      <c r="D182" s="11">
        <v>613242</v>
      </c>
      <c r="E182" s="11" t="s">
        <v>134</v>
      </c>
      <c r="F182" s="2" t="s">
        <v>187</v>
      </c>
      <c r="G182" s="2" t="s">
        <v>12</v>
      </c>
      <c r="H182" s="23">
        <v>3</v>
      </c>
      <c r="I182" s="9">
        <v>300</v>
      </c>
      <c r="J182" s="36">
        <v>900</v>
      </c>
      <c r="K182" s="2"/>
    </row>
    <row r="183" spans="1:11">
      <c r="A183" s="11"/>
      <c r="B183" s="2" t="s">
        <v>37</v>
      </c>
      <c r="C183" s="10" t="s">
        <v>127</v>
      </c>
      <c r="D183" s="11">
        <v>613242</v>
      </c>
      <c r="E183" s="11" t="s">
        <v>134</v>
      </c>
      <c r="F183" s="2" t="s">
        <v>255</v>
      </c>
      <c r="G183" s="2" t="s">
        <v>12</v>
      </c>
      <c r="H183" s="23">
        <v>10</v>
      </c>
      <c r="I183" s="9">
        <v>50</v>
      </c>
      <c r="J183" s="36">
        <v>500</v>
      </c>
      <c r="K183" s="2"/>
    </row>
    <row r="184" spans="1:11">
      <c r="A184" s="11"/>
      <c r="B184" s="2" t="s">
        <v>37</v>
      </c>
      <c r="C184" s="10" t="s">
        <v>127</v>
      </c>
      <c r="D184" s="11">
        <v>613242</v>
      </c>
      <c r="E184" s="11" t="s">
        <v>134</v>
      </c>
      <c r="F184" s="2" t="s">
        <v>110</v>
      </c>
      <c r="G184" s="2" t="s">
        <v>12</v>
      </c>
      <c r="H184" s="23">
        <v>10</v>
      </c>
      <c r="I184" s="9">
        <v>25</v>
      </c>
      <c r="J184" s="36">
        <v>250</v>
      </c>
      <c r="K184" s="2"/>
    </row>
    <row r="185" spans="1:11">
      <c r="A185" s="11"/>
      <c r="B185" s="2" t="s">
        <v>37</v>
      </c>
      <c r="C185" s="10" t="s">
        <v>127</v>
      </c>
      <c r="D185" s="11">
        <v>613242</v>
      </c>
      <c r="E185" s="11" t="s">
        <v>125</v>
      </c>
      <c r="F185" s="2" t="s">
        <v>189</v>
      </c>
      <c r="G185" s="2" t="s">
        <v>12</v>
      </c>
      <c r="H185" s="23">
        <v>5</v>
      </c>
      <c r="I185" s="9">
        <v>278</v>
      </c>
      <c r="J185" s="36">
        <v>1390</v>
      </c>
      <c r="K185" s="2"/>
    </row>
    <row r="186" spans="1:11">
      <c r="A186" s="11"/>
      <c r="B186" s="2" t="s">
        <v>37</v>
      </c>
      <c r="C186" s="10" t="s">
        <v>127</v>
      </c>
      <c r="D186" s="11">
        <v>613242</v>
      </c>
      <c r="E186" s="11" t="s">
        <v>134</v>
      </c>
      <c r="F186" s="2" t="s">
        <v>128</v>
      </c>
      <c r="G186" s="2" t="s">
        <v>12</v>
      </c>
      <c r="H186" s="23">
        <v>20</v>
      </c>
      <c r="I186" s="30">
        <v>10</v>
      </c>
      <c r="J186" s="36">
        <v>200</v>
      </c>
      <c r="K186" s="2"/>
    </row>
    <row r="187" spans="1:11">
      <c r="A187" s="11"/>
      <c r="B187" s="2" t="s">
        <v>37</v>
      </c>
      <c r="C187" s="10" t="s">
        <v>310</v>
      </c>
      <c r="D187" s="11">
        <v>613242</v>
      </c>
      <c r="E187" s="11" t="s">
        <v>125</v>
      </c>
      <c r="F187" s="2" t="s">
        <v>70</v>
      </c>
      <c r="G187" s="2" t="s">
        <v>103</v>
      </c>
      <c r="H187" s="23">
        <v>7</v>
      </c>
      <c r="I187" s="30">
        <v>35</v>
      </c>
      <c r="J187" s="36">
        <v>245</v>
      </c>
      <c r="K187" s="2"/>
    </row>
    <row r="188" spans="1:11">
      <c r="A188" s="12"/>
      <c r="B188" s="4"/>
      <c r="C188" s="17"/>
      <c r="D188" s="12"/>
      <c r="E188" s="12"/>
      <c r="F188" s="4" t="s">
        <v>14</v>
      </c>
      <c r="G188" s="4"/>
      <c r="H188" s="22"/>
      <c r="I188" s="5"/>
      <c r="J188" s="5">
        <f>SUM(J152:J187)</f>
        <v>62841.04</v>
      </c>
      <c r="K188" s="4"/>
    </row>
    <row r="189" spans="1:11">
      <c r="A189" s="19"/>
      <c r="B189" s="8" t="s">
        <v>39</v>
      </c>
      <c r="C189" s="10" t="s">
        <v>115</v>
      </c>
      <c r="D189" s="11">
        <v>611021</v>
      </c>
      <c r="E189" s="11">
        <v>1113</v>
      </c>
      <c r="F189" s="2" t="s">
        <v>171</v>
      </c>
      <c r="G189" s="2" t="s">
        <v>12</v>
      </c>
      <c r="H189" s="21">
        <v>2</v>
      </c>
      <c r="I189" s="3">
        <v>5046.66</v>
      </c>
      <c r="J189" s="36">
        <f>H189*I189</f>
        <v>10093.32</v>
      </c>
      <c r="K189" s="8"/>
    </row>
    <row r="190" spans="1:11">
      <c r="A190" s="12"/>
      <c r="B190" s="4"/>
      <c r="C190" s="17"/>
      <c r="D190" s="12"/>
      <c r="E190" s="12"/>
      <c r="F190" s="4" t="s">
        <v>14</v>
      </c>
      <c r="G190" s="4"/>
      <c r="H190" s="22"/>
      <c r="I190" s="5"/>
      <c r="J190" s="5">
        <f>SUM(J189)</f>
        <v>10093.32</v>
      </c>
      <c r="K190" s="4"/>
    </row>
    <row r="191" spans="1:11">
      <c r="A191" s="19"/>
      <c r="B191" s="8" t="s">
        <v>42</v>
      </c>
      <c r="C191" s="10"/>
      <c r="D191" s="11"/>
      <c r="E191" s="11"/>
      <c r="F191" s="2"/>
      <c r="G191" s="2"/>
      <c r="H191" s="21"/>
      <c r="I191" s="3"/>
      <c r="J191" s="3">
        <f>H191*I191</f>
        <v>0</v>
      </c>
      <c r="K191" s="8"/>
    </row>
    <row r="192" spans="1:11">
      <c r="A192" s="12"/>
      <c r="B192" s="4"/>
      <c r="C192" s="17"/>
      <c r="D192" s="12"/>
      <c r="E192" s="12"/>
      <c r="F192" s="4" t="s">
        <v>14</v>
      </c>
      <c r="G192" s="4"/>
      <c r="H192" s="22"/>
      <c r="I192" s="5"/>
      <c r="J192" s="5">
        <f>SUM(J191)</f>
        <v>0</v>
      </c>
      <c r="K192" s="4"/>
    </row>
    <row r="193" spans="1:11">
      <c r="A193" s="19"/>
      <c r="B193" s="8" t="s">
        <v>83</v>
      </c>
      <c r="C193" s="10"/>
      <c r="D193" s="11"/>
      <c r="E193" s="11"/>
      <c r="F193" s="2"/>
      <c r="G193" s="2"/>
      <c r="H193" s="21"/>
      <c r="I193" s="3"/>
      <c r="J193" s="3">
        <f>H193*I193</f>
        <v>0</v>
      </c>
      <c r="K193" s="8"/>
    </row>
    <row r="194" spans="1:11">
      <c r="A194" s="12"/>
      <c r="B194" s="4"/>
      <c r="C194" s="17"/>
      <c r="D194" s="12"/>
      <c r="E194" s="12"/>
      <c r="F194" s="4" t="s">
        <v>14</v>
      </c>
      <c r="G194" s="4"/>
      <c r="H194" s="22"/>
      <c r="I194" s="5"/>
      <c r="J194" s="5">
        <f>SUM(J193)</f>
        <v>0</v>
      </c>
      <c r="K194" s="4"/>
    </row>
    <row r="195" spans="1:11">
      <c r="A195" s="11">
        <v>6</v>
      </c>
      <c r="B195" s="2" t="s">
        <v>44</v>
      </c>
      <c r="C195" s="10" t="s">
        <v>115</v>
      </c>
      <c r="D195" s="11">
        <v>611021</v>
      </c>
      <c r="E195" s="11">
        <v>1113</v>
      </c>
      <c r="F195" s="2" t="s">
        <v>214</v>
      </c>
      <c r="G195" s="2" t="s">
        <v>12</v>
      </c>
      <c r="H195" s="21">
        <v>1</v>
      </c>
      <c r="I195" s="3">
        <v>11160.69</v>
      </c>
      <c r="J195" s="36">
        <f>H195*I195</f>
        <v>11160.69</v>
      </c>
      <c r="K195" s="2"/>
    </row>
    <row r="196" spans="1:11">
      <c r="A196" s="11"/>
      <c r="B196" s="2" t="s">
        <v>44</v>
      </c>
      <c r="C196" s="10" t="s">
        <v>115</v>
      </c>
      <c r="D196" s="11">
        <v>611021</v>
      </c>
      <c r="E196" s="11">
        <v>1113</v>
      </c>
      <c r="F196" s="2" t="s">
        <v>194</v>
      </c>
      <c r="G196" s="2" t="s">
        <v>12</v>
      </c>
      <c r="H196" s="21">
        <v>3</v>
      </c>
      <c r="I196" s="3">
        <v>1974.78</v>
      </c>
      <c r="J196" s="36">
        <f t="shared" ref="J196:J213" si="6">H196*I196</f>
        <v>5924.34</v>
      </c>
      <c r="K196" s="2"/>
    </row>
    <row r="197" spans="1:11">
      <c r="A197" s="11"/>
      <c r="B197" s="2" t="s">
        <v>44</v>
      </c>
      <c r="C197" s="10" t="s">
        <v>115</v>
      </c>
      <c r="D197" s="11">
        <v>611021</v>
      </c>
      <c r="E197" s="11">
        <v>1113</v>
      </c>
      <c r="F197" s="2" t="s">
        <v>101</v>
      </c>
      <c r="G197" s="2" t="s">
        <v>12</v>
      </c>
      <c r="H197" s="21">
        <v>30</v>
      </c>
      <c r="I197" s="3">
        <v>1073</v>
      </c>
      <c r="J197" s="36">
        <f t="shared" si="6"/>
        <v>32190</v>
      </c>
      <c r="K197" s="2"/>
    </row>
    <row r="198" spans="1:11">
      <c r="A198" s="11"/>
      <c r="B198" s="2" t="s">
        <v>44</v>
      </c>
      <c r="C198" s="10" t="s">
        <v>115</v>
      </c>
      <c r="D198" s="11">
        <v>611021</v>
      </c>
      <c r="E198" s="11">
        <v>1113</v>
      </c>
      <c r="F198" s="2" t="s">
        <v>171</v>
      </c>
      <c r="G198" s="2" t="s">
        <v>12</v>
      </c>
      <c r="H198" s="21">
        <v>2</v>
      </c>
      <c r="I198" s="3">
        <v>5046.66</v>
      </c>
      <c r="J198" s="36">
        <f t="shared" si="6"/>
        <v>10093.32</v>
      </c>
      <c r="K198" s="2"/>
    </row>
    <row r="199" spans="1:11">
      <c r="A199" s="11"/>
      <c r="B199" s="2" t="s">
        <v>44</v>
      </c>
      <c r="C199" s="10" t="s">
        <v>115</v>
      </c>
      <c r="D199" s="11">
        <v>611021</v>
      </c>
      <c r="E199" s="11">
        <v>1113</v>
      </c>
      <c r="F199" s="2" t="s">
        <v>212</v>
      </c>
      <c r="G199" s="2" t="s">
        <v>12</v>
      </c>
      <c r="H199" s="21">
        <v>4</v>
      </c>
      <c r="I199" s="3">
        <v>682.4</v>
      </c>
      <c r="J199" s="36">
        <f t="shared" si="6"/>
        <v>2729.6</v>
      </c>
      <c r="K199" s="2"/>
    </row>
    <row r="200" spans="1:11">
      <c r="A200" s="11"/>
      <c r="B200" s="2" t="s">
        <v>44</v>
      </c>
      <c r="C200" s="10" t="s">
        <v>127</v>
      </c>
      <c r="D200" s="11">
        <v>613242</v>
      </c>
      <c r="E200" s="11" t="s">
        <v>134</v>
      </c>
      <c r="F200" s="2" t="s">
        <v>111</v>
      </c>
      <c r="G200" s="2" t="s">
        <v>12</v>
      </c>
      <c r="H200" s="21">
        <v>30</v>
      </c>
      <c r="I200" s="3">
        <v>30</v>
      </c>
      <c r="J200" s="36">
        <f t="shared" si="6"/>
        <v>900</v>
      </c>
      <c r="K200" s="2"/>
    </row>
    <row r="201" spans="1:11">
      <c r="A201" s="11"/>
      <c r="B201" s="2" t="s">
        <v>44</v>
      </c>
      <c r="C201" s="10" t="s">
        <v>127</v>
      </c>
      <c r="D201" s="11">
        <v>613242</v>
      </c>
      <c r="E201" s="11" t="s">
        <v>134</v>
      </c>
      <c r="F201" s="2" t="s">
        <v>22</v>
      </c>
      <c r="G201" s="2" t="s">
        <v>12</v>
      </c>
      <c r="H201" s="21">
        <v>33</v>
      </c>
      <c r="I201" s="3">
        <v>8</v>
      </c>
      <c r="J201" s="36">
        <f t="shared" si="6"/>
        <v>264</v>
      </c>
      <c r="K201" s="2"/>
    </row>
    <row r="202" spans="1:11">
      <c r="A202" s="11"/>
      <c r="B202" s="2" t="s">
        <v>44</v>
      </c>
      <c r="C202" s="10" t="s">
        <v>127</v>
      </c>
      <c r="D202" s="11">
        <v>613242</v>
      </c>
      <c r="E202" s="11" t="s">
        <v>134</v>
      </c>
      <c r="F202" s="2" t="s">
        <v>142</v>
      </c>
      <c r="G202" s="2" t="s">
        <v>12</v>
      </c>
      <c r="H202" s="21">
        <v>400</v>
      </c>
      <c r="I202" s="3">
        <v>0.2</v>
      </c>
      <c r="J202" s="36">
        <f t="shared" si="6"/>
        <v>80</v>
      </c>
      <c r="K202" s="2"/>
    </row>
    <row r="203" spans="1:11">
      <c r="A203" s="11"/>
      <c r="B203" s="2" t="s">
        <v>44</v>
      </c>
      <c r="C203" s="10" t="s">
        <v>127</v>
      </c>
      <c r="D203" s="11">
        <v>613242</v>
      </c>
      <c r="E203" s="11" t="s">
        <v>134</v>
      </c>
      <c r="F203" s="2" t="s">
        <v>202</v>
      </c>
      <c r="G203" s="2" t="s">
        <v>12</v>
      </c>
      <c r="H203" s="21">
        <v>300</v>
      </c>
      <c r="I203" s="3">
        <v>0.2</v>
      </c>
      <c r="J203" s="36">
        <f t="shared" si="6"/>
        <v>60</v>
      </c>
      <c r="K203" s="2"/>
    </row>
    <row r="204" spans="1:11">
      <c r="A204" s="11"/>
      <c r="B204" s="2" t="s">
        <v>44</v>
      </c>
      <c r="C204" s="10" t="s">
        <v>127</v>
      </c>
      <c r="D204" s="11">
        <v>613242</v>
      </c>
      <c r="E204" s="11" t="s">
        <v>134</v>
      </c>
      <c r="F204" s="2" t="s">
        <v>175</v>
      </c>
      <c r="G204" s="2" t="s">
        <v>12</v>
      </c>
      <c r="H204" s="21">
        <v>200</v>
      </c>
      <c r="I204" s="3">
        <v>0.2</v>
      </c>
      <c r="J204" s="36">
        <f t="shared" si="6"/>
        <v>40</v>
      </c>
      <c r="K204" s="2"/>
    </row>
    <row r="205" spans="1:11">
      <c r="A205" s="11"/>
      <c r="B205" s="2" t="s">
        <v>44</v>
      </c>
      <c r="C205" s="10" t="s">
        <v>127</v>
      </c>
      <c r="D205" s="11">
        <v>613242</v>
      </c>
      <c r="E205" s="11" t="s">
        <v>134</v>
      </c>
      <c r="F205" s="2" t="s">
        <v>215</v>
      </c>
      <c r="G205" s="2" t="s">
        <v>12</v>
      </c>
      <c r="H205" s="21">
        <v>4</v>
      </c>
      <c r="I205" s="3">
        <v>320</v>
      </c>
      <c r="J205" s="36">
        <f t="shared" si="6"/>
        <v>1280</v>
      </c>
      <c r="K205" s="2"/>
    </row>
    <row r="206" spans="1:11">
      <c r="A206" s="11"/>
      <c r="B206" s="2" t="s">
        <v>44</v>
      </c>
      <c r="C206" s="10" t="s">
        <v>127</v>
      </c>
      <c r="D206" s="11">
        <v>611021</v>
      </c>
      <c r="E206" s="11">
        <v>1114</v>
      </c>
      <c r="F206" s="2" t="s">
        <v>86</v>
      </c>
      <c r="G206" s="2" t="s">
        <v>12</v>
      </c>
      <c r="H206" s="21">
        <v>11</v>
      </c>
      <c r="I206" s="3">
        <v>110</v>
      </c>
      <c r="J206" s="36">
        <f t="shared" si="6"/>
        <v>1210</v>
      </c>
      <c r="K206" s="2"/>
    </row>
    <row r="207" spans="1:11">
      <c r="A207" s="11"/>
      <c r="B207" s="2" t="s">
        <v>44</v>
      </c>
      <c r="C207" s="10" t="s">
        <v>127</v>
      </c>
      <c r="D207" s="11">
        <v>613242</v>
      </c>
      <c r="E207" s="11" t="s">
        <v>134</v>
      </c>
      <c r="F207" s="2" t="s">
        <v>45</v>
      </c>
      <c r="G207" s="2" t="s">
        <v>12</v>
      </c>
      <c r="H207" s="21">
        <v>6</v>
      </c>
      <c r="I207" s="3">
        <v>15</v>
      </c>
      <c r="J207" s="36">
        <f t="shared" si="6"/>
        <v>90</v>
      </c>
      <c r="K207" s="2"/>
    </row>
    <row r="208" spans="1:11">
      <c r="A208" s="11"/>
      <c r="B208" s="2" t="s">
        <v>44</v>
      </c>
      <c r="C208" s="10" t="s">
        <v>127</v>
      </c>
      <c r="D208" s="11">
        <v>613242</v>
      </c>
      <c r="E208" s="11" t="s">
        <v>125</v>
      </c>
      <c r="F208" s="2" t="s">
        <v>216</v>
      </c>
      <c r="G208" s="2" t="s">
        <v>12</v>
      </c>
      <c r="H208" s="21">
        <v>24</v>
      </c>
      <c r="I208" s="3">
        <v>15</v>
      </c>
      <c r="J208" s="36">
        <f t="shared" si="6"/>
        <v>360</v>
      </c>
      <c r="K208" s="2"/>
    </row>
    <row r="209" spans="1:11">
      <c r="A209" s="11"/>
      <c r="B209" s="2" t="s">
        <v>44</v>
      </c>
      <c r="C209" s="10" t="s">
        <v>127</v>
      </c>
      <c r="D209" s="11">
        <v>613242</v>
      </c>
      <c r="E209" s="11" t="s">
        <v>134</v>
      </c>
      <c r="F209" s="2" t="s">
        <v>217</v>
      </c>
      <c r="G209" s="2" t="s">
        <v>12</v>
      </c>
      <c r="H209" s="21">
        <v>10</v>
      </c>
      <c r="I209" s="3">
        <v>20</v>
      </c>
      <c r="J209" s="36">
        <f t="shared" si="6"/>
        <v>200</v>
      </c>
      <c r="K209" s="2"/>
    </row>
    <row r="210" spans="1:11">
      <c r="A210" s="11"/>
      <c r="B210" s="2" t="s">
        <v>44</v>
      </c>
      <c r="C210" s="10" t="s">
        <v>127</v>
      </c>
      <c r="D210" s="11">
        <v>613242</v>
      </c>
      <c r="E210" s="11" t="s">
        <v>134</v>
      </c>
      <c r="F210" s="2" t="s">
        <v>110</v>
      </c>
      <c r="G210" s="2" t="s">
        <v>12</v>
      </c>
      <c r="H210" s="21">
        <v>10</v>
      </c>
      <c r="I210" s="3">
        <v>10</v>
      </c>
      <c r="J210" s="36">
        <f t="shared" si="6"/>
        <v>100</v>
      </c>
      <c r="K210" s="2"/>
    </row>
    <row r="211" spans="1:11">
      <c r="A211" s="11"/>
      <c r="B211" s="2" t="s">
        <v>44</v>
      </c>
      <c r="C211" s="10" t="s">
        <v>127</v>
      </c>
      <c r="D211" s="11">
        <v>613242</v>
      </c>
      <c r="E211" s="11" t="s">
        <v>134</v>
      </c>
      <c r="F211" s="2" t="s">
        <v>218</v>
      </c>
      <c r="G211" s="2" t="s">
        <v>12</v>
      </c>
      <c r="H211" s="21">
        <v>10</v>
      </c>
      <c r="I211" s="3">
        <v>2</v>
      </c>
      <c r="J211" s="36">
        <f t="shared" si="6"/>
        <v>20</v>
      </c>
      <c r="K211" s="2"/>
    </row>
    <row r="212" spans="1:11">
      <c r="A212" s="11"/>
      <c r="B212" s="2" t="s">
        <v>44</v>
      </c>
      <c r="C212" s="10" t="s">
        <v>127</v>
      </c>
      <c r="D212" s="11">
        <v>613242</v>
      </c>
      <c r="E212" s="11">
        <v>1512</v>
      </c>
      <c r="F212" s="2" t="s">
        <v>219</v>
      </c>
      <c r="G212" s="2" t="s">
        <v>12</v>
      </c>
      <c r="H212" s="21">
        <v>1</v>
      </c>
      <c r="I212" s="3">
        <v>200</v>
      </c>
      <c r="J212" s="36">
        <f t="shared" si="6"/>
        <v>200</v>
      </c>
      <c r="K212" s="2"/>
    </row>
    <row r="213" spans="1:11">
      <c r="A213" s="11"/>
      <c r="B213" s="2" t="s">
        <v>44</v>
      </c>
      <c r="C213" s="10" t="s">
        <v>127</v>
      </c>
      <c r="D213" s="11">
        <v>611021</v>
      </c>
      <c r="E213" s="11">
        <v>1113</v>
      </c>
      <c r="F213" s="2" t="s">
        <v>220</v>
      </c>
      <c r="G213" s="2" t="s">
        <v>12</v>
      </c>
      <c r="H213" s="21">
        <v>2</v>
      </c>
      <c r="I213" s="3">
        <v>120</v>
      </c>
      <c r="J213" s="36">
        <f t="shared" si="6"/>
        <v>240</v>
      </c>
      <c r="K213" s="2"/>
    </row>
    <row r="214" spans="1:11">
      <c r="A214" s="11"/>
      <c r="B214" s="2" t="s">
        <v>44</v>
      </c>
      <c r="C214" s="10" t="s">
        <v>127</v>
      </c>
      <c r="D214" s="11">
        <v>613242</v>
      </c>
      <c r="E214" s="11" t="s">
        <v>125</v>
      </c>
      <c r="F214" s="2" t="s">
        <v>221</v>
      </c>
      <c r="G214" s="2" t="s">
        <v>226</v>
      </c>
      <c r="H214" s="21">
        <v>2</v>
      </c>
      <c r="I214" s="3">
        <v>180</v>
      </c>
      <c r="J214" s="36">
        <f t="shared" ref="J214:J218" si="7">H214*I214</f>
        <v>360</v>
      </c>
      <c r="K214" s="2"/>
    </row>
    <row r="215" spans="1:11">
      <c r="A215" s="11"/>
      <c r="B215" s="2" t="s">
        <v>44</v>
      </c>
      <c r="C215" s="10" t="s">
        <v>127</v>
      </c>
      <c r="D215" s="11">
        <v>611021</v>
      </c>
      <c r="E215" s="11">
        <v>1113</v>
      </c>
      <c r="F215" s="2" t="s">
        <v>225</v>
      </c>
      <c r="G215" s="2" t="s">
        <v>12</v>
      </c>
      <c r="H215" s="21">
        <v>2</v>
      </c>
      <c r="I215" s="3">
        <v>90</v>
      </c>
      <c r="J215" s="36">
        <f t="shared" si="7"/>
        <v>180</v>
      </c>
      <c r="K215" s="2"/>
    </row>
    <row r="216" spans="1:11">
      <c r="A216" s="11"/>
      <c r="B216" s="2" t="s">
        <v>44</v>
      </c>
      <c r="C216" s="10" t="s">
        <v>127</v>
      </c>
      <c r="D216" s="11">
        <v>613242</v>
      </c>
      <c r="E216" s="11" t="s">
        <v>125</v>
      </c>
      <c r="F216" s="2" t="s">
        <v>222</v>
      </c>
      <c r="G216" s="2" t="s">
        <v>12</v>
      </c>
      <c r="H216" s="23">
        <v>5</v>
      </c>
      <c r="I216" s="9">
        <v>650</v>
      </c>
      <c r="J216" s="36">
        <f t="shared" si="7"/>
        <v>3250</v>
      </c>
      <c r="K216" s="2"/>
    </row>
    <row r="217" spans="1:11">
      <c r="A217" s="11"/>
      <c r="B217" s="2" t="s">
        <v>44</v>
      </c>
      <c r="C217" s="10" t="s">
        <v>127</v>
      </c>
      <c r="D217" s="11">
        <v>613242</v>
      </c>
      <c r="E217" s="11" t="s">
        <v>125</v>
      </c>
      <c r="F217" s="2" t="s">
        <v>223</v>
      </c>
      <c r="G217" s="2" t="s">
        <v>12</v>
      </c>
      <c r="H217" s="23">
        <v>10</v>
      </c>
      <c r="I217" s="9">
        <v>33.200000000000003</v>
      </c>
      <c r="J217" s="36">
        <f t="shared" si="7"/>
        <v>332</v>
      </c>
      <c r="K217" s="2"/>
    </row>
    <row r="218" spans="1:11">
      <c r="A218" s="11"/>
      <c r="B218" s="2" t="s">
        <v>44</v>
      </c>
      <c r="C218" s="10" t="s">
        <v>127</v>
      </c>
      <c r="D218" s="11">
        <v>613242</v>
      </c>
      <c r="E218" s="11" t="s">
        <v>125</v>
      </c>
      <c r="F218" s="2" t="s">
        <v>224</v>
      </c>
      <c r="G218" s="2" t="s">
        <v>12</v>
      </c>
      <c r="H218" s="23">
        <v>2</v>
      </c>
      <c r="I218" s="9">
        <v>25</v>
      </c>
      <c r="J218" s="36">
        <f t="shared" si="7"/>
        <v>50</v>
      </c>
      <c r="K218" s="2"/>
    </row>
    <row r="219" spans="1:11">
      <c r="A219" s="11"/>
      <c r="B219" s="2" t="s">
        <v>44</v>
      </c>
      <c r="C219" s="10" t="s">
        <v>211</v>
      </c>
      <c r="D219" s="11">
        <v>611021</v>
      </c>
      <c r="E219" s="11">
        <v>1514</v>
      </c>
      <c r="F219" s="2" t="s">
        <v>227</v>
      </c>
      <c r="G219" s="2" t="s">
        <v>92</v>
      </c>
      <c r="H219" s="23">
        <v>55</v>
      </c>
      <c r="I219" s="9">
        <v>54.500999999999998</v>
      </c>
      <c r="J219" s="36">
        <v>3000</v>
      </c>
      <c r="K219" s="2"/>
    </row>
    <row r="220" spans="1:11">
      <c r="A220" s="11"/>
      <c r="B220" s="2" t="s">
        <v>44</v>
      </c>
      <c r="C220" s="10" t="s">
        <v>144</v>
      </c>
      <c r="D220" s="11">
        <v>611021</v>
      </c>
      <c r="E220" s="11" t="s">
        <v>311</v>
      </c>
      <c r="F220" s="2" t="s">
        <v>227</v>
      </c>
      <c r="G220" s="2" t="s">
        <v>92</v>
      </c>
      <c r="H220" s="21" t="s">
        <v>268</v>
      </c>
      <c r="I220" s="3">
        <v>31.8</v>
      </c>
      <c r="J220" s="36">
        <v>540.67999999999995</v>
      </c>
      <c r="K220" s="2"/>
    </row>
    <row r="221" spans="1:11">
      <c r="A221" s="12"/>
      <c r="B221" s="4"/>
      <c r="C221" s="17"/>
      <c r="D221" s="12"/>
      <c r="E221" s="12"/>
      <c r="F221" s="4" t="s">
        <v>14</v>
      </c>
      <c r="G221" s="4"/>
      <c r="H221" s="22"/>
      <c r="I221" s="5"/>
      <c r="J221" s="5">
        <f>SUM(J195:J220)</f>
        <v>74854.62999999999</v>
      </c>
      <c r="K221" s="4"/>
    </row>
    <row r="222" spans="1:11">
      <c r="A222" s="19"/>
      <c r="B222" s="8" t="s">
        <v>46</v>
      </c>
      <c r="C222" s="10" t="s">
        <v>115</v>
      </c>
      <c r="D222" s="11">
        <v>611021</v>
      </c>
      <c r="E222" s="11">
        <v>1113</v>
      </c>
      <c r="F222" s="2" t="s">
        <v>171</v>
      </c>
      <c r="G222" s="2" t="s">
        <v>12</v>
      </c>
      <c r="H222" s="21">
        <v>2</v>
      </c>
      <c r="I222" s="3">
        <v>5046.66</v>
      </c>
      <c r="J222" s="36">
        <f>H222*I222</f>
        <v>10093.32</v>
      </c>
      <c r="K222" s="8"/>
    </row>
    <row r="223" spans="1:11">
      <c r="A223" s="19"/>
      <c r="B223" s="8" t="s">
        <v>46</v>
      </c>
      <c r="C223" s="10" t="s">
        <v>247</v>
      </c>
      <c r="D223" s="11">
        <v>611021</v>
      </c>
      <c r="E223" s="11">
        <v>1113</v>
      </c>
      <c r="F223" s="2" t="s">
        <v>312</v>
      </c>
      <c r="G223" s="2" t="s">
        <v>12</v>
      </c>
      <c r="H223" s="21">
        <v>1</v>
      </c>
      <c r="I223" s="3">
        <v>12400</v>
      </c>
      <c r="J223" s="36">
        <v>12400</v>
      </c>
      <c r="K223" s="8"/>
    </row>
    <row r="224" spans="1:11">
      <c r="A224" s="19"/>
      <c r="B224" s="8" t="s">
        <v>46</v>
      </c>
      <c r="C224" s="10" t="s">
        <v>247</v>
      </c>
      <c r="D224" s="11">
        <v>611021</v>
      </c>
      <c r="E224" s="11">
        <v>1113</v>
      </c>
      <c r="F224" s="2" t="s">
        <v>81</v>
      </c>
      <c r="G224" s="2" t="s">
        <v>12</v>
      </c>
      <c r="H224" s="21">
        <f>14+4+4+7</f>
        <v>29</v>
      </c>
      <c r="I224" s="3"/>
      <c r="J224" s="36">
        <f>41580+12000+11600+21000</f>
        <v>86180</v>
      </c>
      <c r="K224" s="8"/>
    </row>
    <row r="225" spans="1:11">
      <c r="A225" s="19"/>
      <c r="B225" s="8" t="s">
        <v>46</v>
      </c>
      <c r="C225" s="10" t="s">
        <v>247</v>
      </c>
      <c r="D225" s="11">
        <v>611021</v>
      </c>
      <c r="E225" s="11" t="s">
        <v>11</v>
      </c>
      <c r="F225" s="2" t="s">
        <v>313</v>
      </c>
      <c r="G225" s="2" t="s">
        <v>13</v>
      </c>
      <c r="H225" s="21">
        <v>226</v>
      </c>
      <c r="I225" s="3">
        <v>45</v>
      </c>
      <c r="J225" s="36">
        <v>10170</v>
      </c>
      <c r="K225" s="8"/>
    </row>
    <row r="226" spans="1:11">
      <c r="A226" s="19"/>
      <c r="B226" s="8" t="s">
        <v>46</v>
      </c>
      <c r="C226" s="10" t="s">
        <v>247</v>
      </c>
      <c r="D226" s="11">
        <v>611021</v>
      </c>
      <c r="E226" s="11" t="s">
        <v>11</v>
      </c>
      <c r="F226" s="2" t="s">
        <v>314</v>
      </c>
      <c r="G226" s="2" t="s">
        <v>12</v>
      </c>
      <c r="H226" s="21">
        <v>30</v>
      </c>
      <c r="I226" s="3">
        <v>100</v>
      </c>
      <c r="J226" s="36">
        <v>3000</v>
      </c>
      <c r="K226" s="8"/>
    </row>
    <row r="227" spans="1:11">
      <c r="A227" s="19"/>
      <c r="B227" s="8" t="s">
        <v>46</v>
      </c>
      <c r="C227" s="10" t="s">
        <v>247</v>
      </c>
      <c r="D227" s="11">
        <v>611021</v>
      </c>
      <c r="E227" s="11" t="s">
        <v>11</v>
      </c>
      <c r="F227" s="2" t="s">
        <v>315</v>
      </c>
      <c r="G227" s="2" t="s">
        <v>12</v>
      </c>
      <c r="H227" s="21">
        <v>8</v>
      </c>
      <c r="I227" s="3">
        <v>30</v>
      </c>
      <c r="J227" s="36">
        <v>240</v>
      </c>
      <c r="K227" s="8"/>
    </row>
    <row r="228" spans="1:11">
      <c r="A228" s="19"/>
      <c r="B228" s="8" t="s">
        <v>46</v>
      </c>
      <c r="C228" s="10" t="s">
        <v>247</v>
      </c>
      <c r="D228" s="11">
        <v>611021</v>
      </c>
      <c r="E228" s="11" t="s">
        <v>11</v>
      </c>
      <c r="F228" s="2" t="s">
        <v>316</v>
      </c>
      <c r="G228" s="2" t="s">
        <v>12</v>
      </c>
      <c r="H228" s="21">
        <v>5</v>
      </c>
      <c r="I228" s="3">
        <v>40</v>
      </c>
      <c r="J228" s="36">
        <v>200</v>
      </c>
      <c r="K228" s="8"/>
    </row>
    <row r="229" spans="1:11">
      <c r="A229" s="19"/>
      <c r="B229" s="8" t="s">
        <v>46</v>
      </c>
      <c r="C229" s="10" t="s">
        <v>247</v>
      </c>
      <c r="D229" s="11">
        <v>611021</v>
      </c>
      <c r="E229" s="11" t="s">
        <v>11</v>
      </c>
      <c r="F229" s="2" t="s">
        <v>317</v>
      </c>
      <c r="G229" s="2" t="s">
        <v>12</v>
      </c>
      <c r="H229" s="21">
        <v>2</v>
      </c>
      <c r="I229" s="3">
        <v>410</v>
      </c>
      <c r="J229" s="36">
        <v>820</v>
      </c>
      <c r="K229" s="8"/>
    </row>
    <row r="230" spans="1:11">
      <c r="A230" s="19"/>
      <c r="B230" s="8" t="s">
        <v>46</v>
      </c>
      <c r="C230" s="10" t="s">
        <v>247</v>
      </c>
      <c r="D230" s="11">
        <v>611021</v>
      </c>
      <c r="E230" s="11" t="s">
        <v>11</v>
      </c>
      <c r="F230" s="2" t="s">
        <v>96</v>
      </c>
      <c r="G230" s="2" t="s">
        <v>12</v>
      </c>
      <c r="H230" s="21">
        <v>50</v>
      </c>
      <c r="I230" s="3">
        <v>60</v>
      </c>
      <c r="J230" s="36">
        <v>3000</v>
      </c>
      <c r="K230" s="8"/>
    </row>
    <row r="231" spans="1:11">
      <c r="A231" s="19"/>
      <c r="B231" s="8" t="s">
        <v>46</v>
      </c>
      <c r="C231" s="10" t="s">
        <v>247</v>
      </c>
      <c r="D231" s="11">
        <v>611021</v>
      </c>
      <c r="E231" s="11" t="s">
        <v>11</v>
      </c>
      <c r="F231" s="2" t="s">
        <v>318</v>
      </c>
      <c r="G231" s="2" t="s">
        <v>12</v>
      </c>
      <c r="H231" s="21">
        <v>6</v>
      </c>
      <c r="I231" s="3">
        <v>20</v>
      </c>
      <c r="J231" s="36">
        <v>120</v>
      </c>
      <c r="K231" s="8"/>
    </row>
    <row r="232" spans="1:11">
      <c r="A232" s="19"/>
      <c r="B232" s="8" t="s">
        <v>46</v>
      </c>
      <c r="C232" s="10" t="s">
        <v>247</v>
      </c>
      <c r="D232" s="11">
        <v>611021</v>
      </c>
      <c r="E232" s="11" t="s">
        <v>11</v>
      </c>
      <c r="F232" s="2" t="s">
        <v>319</v>
      </c>
      <c r="G232" s="2" t="s">
        <v>12</v>
      </c>
      <c r="H232" s="21">
        <v>1</v>
      </c>
      <c r="I232" s="3">
        <v>300</v>
      </c>
      <c r="J232" s="36">
        <v>300</v>
      </c>
      <c r="K232" s="8"/>
    </row>
    <row r="233" spans="1:11">
      <c r="A233" s="12"/>
      <c r="B233" s="4"/>
      <c r="C233" s="17"/>
      <c r="D233" s="12"/>
      <c r="E233" s="12"/>
      <c r="F233" s="4" t="s">
        <v>14</v>
      </c>
      <c r="G233" s="4"/>
      <c r="H233" s="22"/>
      <c r="I233" s="5"/>
      <c r="J233" s="5">
        <f>SUM(J222:J232)</f>
        <v>126523.32</v>
      </c>
      <c r="K233" s="4"/>
    </row>
    <row r="234" spans="1:11">
      <c r="A234" s="11">
        <v>7</v>
      </c>
      <c r="B234" s="2" t="s">
        <v>246</v>
      </c>
      <c r="C234" s="10" t="s">
        <v>115</v>
      </c>
      <c r="D234" s="11">
        <v>611021</v>
      </c>
      <c r="E234" s="11">
        <v>1113</v>
      </c>
      <c r="F234" s="2" t="s">
        <v>194</v>
      </c>
      <c r="G234" s="2" t="s">
        <v>12</v>
      </c>
      <c r="H234" s="21">
        <v>1</v>
      </c>
      <c r="I234" s="3">
        <v>1974.78</v>
      </c>
      <c r="J234" s="36">
        <f>H234*I234</f>
        <v>1974.78</v>
      </c>
      <c r="K234" s="2"/>
    </row>
    <row r="235" spans="1:11">
      <c r="A235" s="11"/>
      <c r="B235" s="2" t="s">
        <v>246</v>
      </c>
      <c r="C235" s="10" t="s">
        <v>115</v>
      </c>
      <c r="D235" s="11">
        <v>611021</v>
      </c>
      <c r="E235" s="11">
        <v>1113</v>
      </c>
      <c r="F235" s="2" t="s">
        <v>171</v>
      </c>
      <c r="G235" s="2" t="s">
        <v>12</v>
      </c>
      <c r="H235" s="21">
        <v>1</v>
      </c>
      <c r="I235" s="3">
        <v>5046.66</v>
      </c>
      <c r="J235" s="36">
        <f t="shared" ref="J235:J276" si="8">H235*I235</f>
        <v>5046.66</v>
      </c>
      <c r="K235" s="2"/>
    </row>
    <row r="236" spans="1:11">
      <c r="A236" s="11"/>
      <c r="B236" s="2" t="s">
        <v>246</v>
      </c>
      <c r="C236" s="10" t="s">
        <v>115</v>
      </c>
      <c r="D236" s="11">
        <v>611021</v>
      </c>
      <c r="E236" s="11">
        <v>1113</v>
      </c>
      <c r="F236" s="2" t="s">
        <v>228</v>
      </c>
      <c r="G236" s="2" t="s">
        <v>12</v>
      </c>
      <c r="H236" s="21">
        <v>3</v>
      </c>
      <c r="I236" s="3">
        <v>682.4</v>
      </c>
      <c r="J236" s="36">
        <f t="shared" si="8"/>
        <v>2047.1999999999998</v>
      </c>
      <c r="K236" s="2"/>
    </row>
    <row r="237" spans="1:11">
      <c r="A237" s="11"/>
      <c r="B237" s="2" t="s">
        <v>246</v>
      </c>
      <c r="C237" s="10" t="s">
        <v>127</v>
      </c>
      <c r="D237" s="11">
        <v>611021</v>
      </c>
      <c r="E237" s="11">
        <v>1113</v>
      </c>
      <c r="F237" s="2" t="s">
        <v>91</v>
      </c>
      <c r="G237" s="2" t="s">
        <v>12</v>
      </c>
      <c r="H237" s="21">
        <v>2</v>
      </c>
      <c r="I237" s="3">
        <v>300</v>
      </c>
      <c r="J237" s="36">
        <f t="shared" si="8"/>
        <v>600</v>
      </c>
      <c r="K237" s="2"/>
    </row>
    <row r="238" spans="1:11">
      <c r="A238" s="11"/>
      <c r="B238" s="2" t="s">
        <v>246</v>
      </c>
      <c r="C238" s="10" t="s">
        <v>127</v>
      </c>
      <c r="D238" s="11">
        <v>611021</v>
      </c>
      <c r="E238" s="11">
        <v>1113</v>
      </c>
      <c r="F238" s="2" t="s">
        <v>229</v>
      </c>
      <c r="G238" s="2" t="s">
        <v>12</v>
      </c>
      <c r="H238" s="21">
        <v>5</v>
      </c>
      <c r="I238" s="3">
        <v>150</v>
      </c>
      <c r="J238" s="36">
        <f t="shared" si="8"/>
        <v>750</v>
      </c>
      <c r="K238" s="2"/>
    </row>
    <row r="239" spans="1:11">
      <c r="A239" s="11"/>
      <c r="B239" s="2" t="s">
        <v>246</v>
      </c>
      <c r="C239" s="10" t="s">
        <v>127</v>
      </c>
      <c r="D239" s="11">
        <v>613242</v>
      </c>
      <c r="E239" s="11" t="s">
        <v>134</v>
      </c>
      <c r="F239" s="2" t="s">
        <v>230</v>
      </c>
      <c r="G239" s="2" t="s">
        <v>12</v>
      </c>
      <c r="H239" s="21">
        <v>5</v>
      </c>
      <c r="I239" s="3">
        <v>20</v>
      </c>
      <c r="J239" s="36">
        <f t="shared" si="8"/>
        <v>100</v>
      </c>
      <c r="K239" s="2"/>
    </row>
    <row r="240" spans="1:11">
      <c r="A240" s="11"/>
      <c r="B240" s="2" t="s">
        <v>246</v>
      </c>
      <c r="C240" s="10" t="s">
        <v>127</v>
      </c>
      <c r="D240" s="11">
        <v>611021</v>
      </c>
      <c r="E240" s="11">
        <v>1114</v>
      </c>
      <c r="F240" s="2" t="s">
        <v>179</v>
      </c>
      <c r="G240" s="2" t="s">
        <v>12</v>
      </c>
      <c r="H240" s="21">
        <v>7</v>
      </c>
      <c r="I240" s="3">
        <v>200</v>
      </c>
      <c r="J240" s="36">
        <f t="shared" si="8"/>
        <v>1400</v>
      </c>
      <c r="K240" s="2"/>
    </row>
    <row r="241" spans="1:11">
      <c r="A241" s="11"/>
      <c r="B241" s="2" t="s">
        <v>246</v>
      </c>
      <c r="C241" s="10" t="s">
        <v>127</v>
      </c>
      <c r="D241" s="11">
        <v>611021</v>
      </c>
      <c r="E241" s="11">
        <v>1114</v>
      </c>
      <c r="F241" s="2" t="s">
        <v>231</v>
      </c>
      <c r="G241" s="2" t="s">
        <v>12</v>
      </c>
      <c r="H241" s="21">
        <v>2</v>
      </c>
      <c r="I241" s="3">
        <v>500</v>
      </c>
      <c r="J241" s="36">
        <f t="shared" si="8"/>
        <v>1000</v>
      </c>
      <c r="K241" s="2"/>
    </row>
    <row r="242" spans="1:11">
      <c r="A242" s="11"/>
      <c r="B242" s="2" t="s">
        <v>246</v>
      </c>
      <c r="C242" s="10" t="s">
        <v>127</v>
      </c>
      <c r="D242" s="11">
        <v>611021</v>
      </c>
      <c r="E242" s="11">
        <v>1114</v>
      </c>
      <c r="F242" s="2" t="s">
        <v>178</v>
      </c>
      <c r="G242" s="2" t="s">
        <v>12</v>
      </c>
      <c r="H242" s="21">
        <v>12</v>
      </c>
      <c r="I242" s="3">
        <v>250</v>
      </c>
      <c r="J242" s="36">
        <f t="shared" si="8"/>
        <v>3000</v>
      </c>
      <c r="K242" s="2"/>
    </row>
    <row r="243" spans="1:11">
      <c r="A243" s="11"/>
      <c r="B243" s="2" t="s">
        <v>246</v>
      </c>
      <c r="C243" s="10" t="s">
        <v>127</v>
      </c>
      <c r="D243" s="11">
        <v>611021</v>
      </c>
      <c r="E243" s="11">
        <v>1114</v>
      </c>
      <c r="F243" s="2" t="s">
        <v>200</v>
      </c>
      <c r="G243" s="2" t="s">
        <v>12</v>
      </c>
      <c r="H243" s="21">
        <v>3</v>
      </c>
      <c r="I243" s="3">
        <v>550</v>
      </c>
      <c r="J243" s="36">
        <f t="shared" si="8"/>
        <v>1650</v>
      </c>
      <c r="K243" s="2"/>
    </row>
    <row r="244" spans="1:11">
      <c r="A244" s="11"/>
      <c r="B244" s="2" t="s">
        <v>246</v>
      </c>
      <c r="C244" s="10" t="s">
        <v>127</v>
      </c>
      <c r="D244" s="11">
        <v>613242</v>
      </c>
      <c r="E244" s="11" t="s">
        <v>134</v>
      </c>
      <c r="F244" s="2" t="s">
        <v>187</v>
      </c>
      <c r="G244" s="2" t="s">
        <v>192</v>
      </c>
      <c r="H244" s="21">
        <v>5</v>
      </c>
      <c r="I244" s="3">
        <v>300</v>
      </c>
      <c r="J244" s="36">
        <f t="shared" si="8"/>
        <v>1500</v>
      </c>
      <c r="K244" s="2"/>
    </row>
    <row r="245" spans="1:11">
      <c r="A245" s="11"/>
      <c r="B245" s="2" t="s">
        <v>246</v>
      </c>
      <c r="C245" s="10" t="s">
        <v>127</v>
      </c>
      <c r="D245" s="11">
        <v>613242</v>
      </c>
      <c r="E245" s="11" t="s">
        <v>134</v>
      </c>
      <c r="F245" s="2" t="s">
        <v>242</v>
      </c>
      <c r="G245" s="2" t="s">
        <v>192</v>
      </c>
      <c r="H245" s="21">
        <v>5</v>
      </c>
      <c r="I245" s="3">
        <v>30</v>
      </c>
      <c r="J245" s="36">
        <f t="shared" si="8"/>
        <v>150</v>
      </c>
      <c r="K245" s="2"/>
    </row>
    <row r="246" spans="1:11">
      <c r="A246" s="11"/>
      <c r="B246" s="2" t="s">
        <v>246</v>
      </c>
      <c r="C246" s="10" t="s">
        <v>127</v>
      </c>
      <c r="D246" s="11">
        <v>613242</v>
      </c>
      <c r="E246" s="11" t="s">
        <v>125</v>
      </c>
      <c r="F246" s="2" t="s">
        <v>232</v>
      </c>
      <c r="G246" s="2" t="s">
        <v>12</v>
      </c>
      <c r="H246" s="21">
        <v>35</v>
      </c>
      <c r="I246" s="3">
        <v>15</v>
      </c>
      <c r="J246" s="36">
        <f t="shared" si="8"/>
        <v>525</v>
      </c>
      <c r="K246" s="2"/>
    </row>
    <row r="247" spans="1:11">
      <c r="A247" s="11"/>
      <c r="B247" s="2" t="s">
        <v>246</v>
      </c>
      <c r="C247" s="10" t="s">
        <v>127</v>
      </c>
      <c r="D247" s="11">
        <v>613242</v>
      </c>
      <c r="E247" s="11" t="s">
        <v>134</v>
      </c>
      <c r="F247" s="2" t="s">
        <v>142</v>
      </c>
      <c r="G247" s="2" t="s">
        <v>12</v>
      </c>
      <c r="H247" s="21">
        <v>400</v>
      </c>
      <c r="I247" s="3">
        <v>0.5</v>
      </c>
      <c r="J247" s="36">
        <f t="shared" si="8"/>
        <v>200</v>
      </c>
      <c r="K247" s="2"/>
    </row>
    <row r="248" spans="1:11">
      <c r="A248" s="11"/>
      <c r="B248" s="2" t="s">
        <v>246</v>
      </c>
      <c r="C248" s="10" t="s">
        <v>127</v>
      </c>
      <c r="D248" s="11">
        <v>613242</v>
      </c>
      <c r="E248" s="11" t="s">
        <v>134</v>
      </c>
      <c r="F248" s="2" t="s">
        <v>102</v>
      </c>
      <c r="G248" s="2" t="s">
        <v>12</v>
      </c>
      <c r="H248" s="21">
        <v>5</v>
      </c>
      <c r="I248" s="3">
        <v>11</v>
      </c>
      <c r="J248" s="36">
        <f t="shared" si="8"/>
        <v>55</v>
      </c>
      <c r="K248" s="2"/>
    </row>
    <row r="249" spans="1:11">
      <c r="A249" s="11"/>
      <c r="B249" s="2" t="s">
        <v>246</v>
      </c>
      <c r="C249" s="10" t="s">
        <v>127</v>
      </c>
      <c r="D249" s="11">
        <v>613242</v>
      </c>
      <c r="E249" s="11" t="s">
        <v>134</v>
      </c>
      <c r="F249" s="2" t="s">
        <v>233</v>
      </c>
      <c r="G249" s="2" t="s">
        <v>12</v>
      </c>
      <c r="H249" s="21">
        <v>2</v>
      </c>
      <c r="I249" s="3">
        <v>18</v>
      </c>
      <c r="J249" s="36">
        <f t="shared" si="8"/>
        <v>36</v>
      </c>
      <c r="K249" s="2"/>
    </row>
    <row r="250" spans="1:11">
      <c r="A250" s="11"/>
      <c r="B250" s="2" t="s">
        <v>246</v>
      </c>
      <c r="C250" s="10" t="s">
        <v>127</v>
      </c>
      <c r="D250" s="11">
        <v>613242</v>
      </c>
      <c r="E250" s="11" t="s">
        <v>134</v>
      </c>
      <c r="F250" s="2" t="s">
        <v>202</v>
      </c>
      <c r="G250" s="2" t="s">
        <v>12</v>
      </c>
      <c r="H250" s="21">
        <v>200</v>
      </c>
      <c r="I250" s="3">
        <v>0.5</v>
      </c>
      <c r="J250" s="36">
        <f t="shared" si="8"/>
        <v>100</v>
      </c>
      <c r="K250" s="2"/>
    </row>
    <row r="251" spans="1:11">
      <c r="A251" s="11"/>
      <c r="B251" s="2" t="s">
        <v>246</v>
      </c>
      <c r="C251" s="10" t="s">
        <v>127</v>
      </c>
      <c r="D251" s="11">
        <v>613242</v>
      </c>
      <c r="E251" s="11" t="s">
        <v>134</v>
      </c>
      <c r="F251" s="2" t="s">
        <v>64</v>
      </c>
      <c r="G251" s="2" t="s">
        <v>192</v>
      </c>
      <c r="H251" s="21">
        <v>5</v>
      </c>
      <c r="I251" s="3">
        <v>70</v>
      </c>
      <c r="J251" s="36">
        <f t="shared" si="8"/>
        <v>350</v>
      </c>
      <c r="K251" s="2"/>
    </row>
    <row r="252" spans="1:11">
      <c r="A252" s="11"/>
      <c r="B252" s="2" t="s">
        <v>246</v>
      </c>
      <c r="C252" s="10" t="s">
        <v>127</v>
      </c>
      <c r="D252" s="11">
        <v>613242</v>
      </c>
      <c r="E252" s="11" t="s">
        <v>134</v>
      </c>
      <c r="F252" s="2" t="s">
        <v>188</v>
      </c>
      <c r="G252" s="2" t="s">
        <v>192</v>
      </c>
      <c r="H252" s="21">
        <v>5</v>
      </c>
      <c r="I252" s="3">
        <v>90</v>
      </c>
      <c r="J252" s="36">
        <f t="shared" si="8"/>
        <v>450</v>
      </c>
      <c r="K252" s="2"/>
    </row>
    <row r="253" spans="1:11">
      <c r="A253" s="11"/>
      <c r="B253" s="2" t="s">
        <v>246</v>
      </c>
      <c r="C253" s="10" t="s">
        <v>127</v>
      </c>
      <c r="D253" s="11">
        <v>613242</v>
      </c>
      <c r="E253" s="11" t="s">
        <v>134</v>
      </c>
      <c r="F253" s="2" t="s">
        <v>234</v>
      </c>
      <c r="G253" s="2" t="s">
        <v>12</v>
      </c>
      <c r="H253" s="21">
        <v>40</v>
      </c>
      <c r="I253" s="3">
        <v>2</v>
      </c>
      <c r="J253" s="36">
        <f t="shared" si="8"/>
        <v>80</v>
      </c>
      <c r="K253" s="2"/>
    </row>
    <row r="254" spans="1:11">
      <c r="A254" s="11"/>
      <c r="B254" s="2" t="s">
        <v>246</v>
      </c>
      <c r="C254" s="10" t="s">
        <v>127</v>
      </c>
      <c r="D254" s="11">
        <v>613242</v>
      </c>
      <c r="E254" s="11" t="s">
        <v>134</v>
      </c>
      <c r="F254" s="2" t="s">
        <v>106</v>
      </c>
      <c r="G254" s="2" t="s">
        <v>12</v>
      </c>
      <c r="H254" s="21">
        <v>20</v>
      </c>
      <c r="I254" s="3">
        <v>20</v>
      </c>
      <c r="J254" s="36">
        <f t="shared" si="8"/>
        <v>400</v>
      </c>
      <c r="K254" s="2"/>
    </row>
    <row r="255" spans="1:11">
      <c r="A255" s="11"/>
      <c r="B255" s="2" t="s">
        <v>246</v>
      </c>
      <c r="C255" s="10" t="s">
        <v>127</v>
      </c>
      <c r="D255" s="11">
        <v>613242</v>
      </c>
      <c r="E255" s="11" t="s">
        <v>134</v>
      </c>
      <c r="F255" s="2" t="s">
        <v>22</v>
      </c>
      <c r="G255" s="2" t="s">
        <v>12</v>
      </c>
      <c r="H255" s="21">
        <v>30</v>
      </c>
      <c r="I255" s="3">
        <v>10</v>
      </c>
      <c r="J255" s="36">
        <f t="shared" si="8"/>
        <v>300</v>
      </c>
      <c r="K255" s="2"/>
    </row>
    <row r="256" spans="1:11">
      <c r="A256" s="11"/>
      <c r="B256" s="2" t="s">
        <v>246</v>
      </c>
      <c r="C256" s="10" t="s">
        <v>127</v>
      </c>
      <c r="D256" s="11">
        <v>613242</v>
      </c>
      <c r="E256" s="11" t="s">
        <v>134</v>
      </c>
      <c r="F256" s="2" t="s">
        <v>176</v>
      </c>
      <c r="G256" s="2" t="s">
        <v>12</v>
      </c>
      <c r="H256" s="21">
        <v>20</v>
      </c>
      <c r="I256" s="3">
        <v>10</v>
      </c>
      <c r="J256" s="36">
        <f t="shared" si="8"/>
        <v>200</v>
      </c>
      <c r="K256" s="2"/>
    </row>
    <row r="257" spans="1:11">
      <c r="A257" s="11"/>
      <c r="B257" s="2" t="s">
        <v>246</v>
      </c>
      <c r="C257" s="10" t="s">
        <v>127</v>
      </c>
      <c r="D257" s="11">
        <v>613242</v>
      </c>
      <c r="E257" s="11" t="s">
        <v>125</v>
      </c>
      <c r="F257" s="2" t="s">
        <v>182</v>
      </c>
      <c r="G257" s="2" t="s">
        <v>12</v>
      </c>
      <c r="H257" s="21">
        <v>24</v>
      </c>
      <c r="I257" s="3">
        <v>70</v>
      </c>
      <c r="J257" s="36">
        <f t="shared" si="8"/>
        <v>1680</v>
      </c>
      <c r="K257" s="2"/>
    </row>
    <row r="258" spans="1:11">
      <c r="A258" s="11"/>
      <c r="B258" s="2" t="s">
        <v>246</v>
      </c>
      <c r="C258" s="10" t="s">
        <v>127</v>
      </c>
      <c r="D258" s="11">
        <v>613242</v>
      </c>
      <c r="E258" s="11" t="s">
        <v>125</v>
      </c>
      <c r="F258" s="2" t="s">
        <v>235</v>
      </c>
      <c r="G258" s="2" t="s">
        <v>12</v>
      </c>
      <c r="H258" s="21">
        <v>12</v>
      </c>
      <c r="I258" s="3">
        <v>130</v>
      </c>
      <c r="J258" s="36">
        <f t="shared" si="8"/>
        <v>1560</v>
      </c>
      <c r="K258" s="2"/>
    </row>
    <row r="259" spans="1:11">
      <c r="A259" s="11"/>
      <c r="B259" s="2" t="s">
        <v>246</v>
      </c>
      <c r="C259" s="10" t="s">
        <v>127</v>
      </c>
      <c r="D259" s="11">
        <v>613242</v>
      </c>
      <c r="E259" s="11" t="s">
        <v>125</v>
      </c>
      <c r="F259" s="2" t="s">
        <v>244</v>
      </c>
      <c r="G259" s="2" t="s">
        <v>12</v>
      </c>
      <c r="H259" s="21">
        <v>12</v>
      </c>
      <c r="I259" s="3">
        <v>40</v>
      </c>
      <c r="J259" s="36">
        <f t="shared" si="8"/>
        <v>480</v>
      </c>
      <c r="K259" s="2"/>
    </row>
    <row r="260" spans="1:11">
      <c r="A260" s="11"/>
      <c r="B260" s="2" t="s">
        <v>246</v>
      </c>
      <c r="C260" s="10" t="s">
        <v>127</v>
      </c>
      <c r="D260" s="11">
        <v>613242</v>
      </c>
      <c r="E260" s="11" t="s">
        <v>125</v>
      </c>
      <c r="F260" s="2" t="s">
        <v>243</v>
      </c>
      <c r="G260" s="2" t="s">
        <v>12</v>
      </c>
      <c r="H260" s="21">
        <v>3</v>
      </c>
      <c r="I260" s="3">
        <v>20</v>
      </c>
      <c r="J260" s="36">
        <f t="shared" si="8"/>
        <v>60</v>
      </c>
      <c r="K260" s="2"/>
    </row>
    <row r="261" spans="1:11">
      <c r="A261" s="11"/>
      <c r="B261" s="2" t="s">
        <v>246</v>
      </c>
      <c r="C261" s="10" t="s">
        <v>127</v>
      </c>
      <c r="D261" s="11">
        <v>613242</v>
      </c>
      <c r="E261" s="11" t="s">
        <v>125</v>
      </c>
      <c r="F261" s="2" t="s">
        <v>224</v>
      </c>
      <c r="G261" s="2" t="s">
        <v>12</v>
      </c>
      <c r="H261" s="21">
        <v>2</v>
      </c>
      <c r="I261" s="3">
        <v>45</v>
      </c>
      <c r="J261" s="36">
        <f t="shared" si="8"/>
        <v>90</v>
      </c>
      <c r="K261" s="2"/>
    </row>
    <row r="262" spans="1:11">
      <c r="A262" s="11"/>
      <c r="B262" s="2" t="s">
        <v>246</v>
      </c>
      <c r="C262" s="10" t="s">
        <v>127</v>
      </c>
      <c r="D262" s="11">
        <v>613242</v>
      </c>
      <c r="E262" s="11" t="s">
        <v>125</v>
      </c>
      <c r="F262" s="2" t="s">
        <v>236</v>
      </c>
      <c r="G262" s="2" t="s">
        <v>12</v>
      </c>
      <c r="H262" s="21">
        <v>2</v>
      </c>
      <c r="I262" s="3">
        <v>30</v>
      </c>
      <c r="J262" s="36">
        <f t="shared" si="8"/>
        <v>60</v>
      </c>
      <c r="K262" s="2"/>
    </row>
    <row r="263" spans="1:11">
      <c r="A263" s="11"/>
      <c r="B263" s="2" t="s">
        <v>246</v>
      </c>
      <c r="C263" s="10" t="s">
        <v>127</v>
      </c>
      <c r="D263" s="11">
        <v>613242</v>
      </c>
      <c r="E263" s="11" t="s">
        <v>125</v>
      </c>
      <c r="F263" s="2" t="s">
        <v>237</v>
      </c>
      <c r="G263" s="2" t="s">
        <v>12</v>
      </c>
      <c r="H263" s="21">
        <v>12</v>
      </c>
      <c r="I263" s="3">
        <v>115</v>
      </c>
      <c r="J263" s="36">
        <f t="shared" si="8"/>
        <v>1380</v>
      </c>
      <c r="K263" s="2"/>
    </row>
    <row r="264" spans="1:11">
      <c r="A264" s="11"/>
      <c r="B264" s="2" t="s">
        <v>246</v>
      </c>
      <c r="C264" s="10" t="s">
        <v>127</v>
      </c>
      <c r="D264" s="11">
        <v>613242</v>
      </c>
      <c r="E264" s="11" t="s">
        <v>125</v>
      </c>
      <c r="F264" s="2" t="s">
        <v>238</v>
      </c>
      <c r="G264" s="2" t="s">
        <v>241</v>
      </c>
      <c r="H264" s="21">
        <v>10</v>
      </c>
      <c r="I264" s="3">
        <v>270</v>
      </c>
      <c r="J264" s="36">
        <f t="shared" si="8"/>
        <v>2700</v>
      </c>
      <c r="K264" s="2"/>
    </row>
    <row r="265" spans="1:11">
      <c r="A265" s="11"/>
      <c r="B265" s="2" t="s">
        <v>246</v>
      </c>
      <c r="C265" s="10" t="s">
        <v>127</v>
      </c>
      <c r="D265" s="11">
        <v>613242</v>
      </c>
      <c r="E265" s="11" t="s">
        <v>125</v>
      </c>
      <c r="F265" s="2" t="s">
        <v>239</v>
      </c>
      <c r="G265" s="2" t="s">
        <v>12</v>
      </c>
      <c r="H265" s="21">
        <v>1</v>
      </c>
      <c r="I265" s="3">
        <v>170</v>
      </c>
      <c r="J265" s="36">
        <f t="shared" si="8"/>
        <v>170</v>
      </c>
      <c r="K265" s="2"/>
    </row>
    <row r="266" spans="1:11">
      <c r="A266" s="11"/>
      <c r="B266" s="2" t="s">
        <v>246</v>
      </c>
      <c r="C266" s="10" t="s">
        <v>127</v>
      </c>
      <c r="D266" s="11">
        <v>613242</v>
      </c>
      <c r="E266" s="11" t="s">
        <v>125</v>
      </c>
      <c r="F266" s="2" t="s">
        <v>240</v>
      </c>
      <c r="G266" s="2" t="s">
        <v>12</v>
      </c>
      <c r="H266" s="21">
        <v>5</v>
      </c>
      <c r="I266" s="3">
        <v>310</v>
      </c>
      <c r="J266" s="36">
        <f t="shared" si="8"/>
        <v>1550</v>
      </c>
      <c r="K266" s="2"/>
    </row>
    <row r="267" spans="1:11">
      <c r="A267" s="11"/>
      <c r="B267" s="2" t="s">
        <v>246</v>
      </c>
      <c r="C267" s="10" t="s">
        <v>127</v>
      </c>
      <c r="D267" s="11">
        <v>611021</v>
      </c>
      <c r="E267" s="11">
        <v>1113</v>
      </c>
      <c r="F267" s="2" t="s">
        <v>407</v>
      </c>
      <c r="G267" s="2" t="s">
        <v>12</v>
      </c>
      <c r="H267" s="21">
        <v>7</v>
      </c>
      <c r="I267" s="3">
        <v>200</v>
      </c>
      <c r="J267" s="36">
        <f t="shared" si="8"/>
        <v>1400</v>
      </c>
      <c r="K267" s="2"/>
    </row>
    <row r="268" spans="1:11">
      <c r="A268" s="11"/>
      <c r="B268" s="2" t="s">
        <v>246</v>
      </c>
      <c r="C268" s="10" t="s">
        <v>127</v>
      </c>
      <c r="D268" s="11">
        <v>613242</v>
      </c>
      <c r="E268" s="11" t="s">
        <v>125</v>
      </c>
      <c r="F268" s="2" t="s">
        <v>320</v>
      </c>
      <c r="G268" s="2" t="s">
        <v>12</v>
      </c>
      <c r="H268" s="21">
        <v>102</v>
      </c>
      <c r="I268" s="3">
        <v>10</v>
      </c>
      <c r="J268" s="36">
        <f t="shared" si="8"/>
        <v>1020</v>
      </c>
      <c r="K268" s="2"/>
    </row>
    <row r="269" spans="1:11">
      <c r="A269" s="11"/>
      <c r="B269" s="2" t="s">
        <v>246</v>
      </c>
      <c r="C269" s="10" t="s">
        <v>127</v>
      </c>
      <c r="D269" s="11">
        <v>613242</v>
      </c>
      <c r="E269" s="11" t="s">
        <v>125</v>
      </c>
      <c r="F269" s="2" t="s">
        <v>71</v>
      </c>
      <c r="G269" s="2" t="s">
        <v>12</v>
      </c>
      <c r="H269" s="21">
        <v>4</v>
      </c>
      <c r="I269" s="3">
        <v>25</v>
      </c>
      <c r="J269" s="36">
        <f t="shared" si="8"/>
        <v>100</v>
      </c>
      <c r="K269" s="2"/>
    </row>
    <row r="270" spans="1:11">
      <c r="A270" s="11"/>
      <c r="B270" s="2" t="s">
        <v>246</v>
      </c>
      <c r="C270" s="10" t="s">
        <v>127</v>
      </c>
      <c r="D270" s="11">
        <v>613242</v>
      </c>
      <c r="E270" s="11" t="s">
        <v>134</v>
      </c>
      <c r="F270" s="2" t="s">
        <v>110</v>
      </c>
      <c r="G270" s="2" t="s">
        <v>12</v>
      </c>
      <c r="H270" s="21">
        <v>7</v>
      </c>
      <c r="I270" s="3">
        <v>40</v>
      </c>
      <c r="J270" s="36">
        <f t="shared" si="8"/>
        <v>280</v>
      </c>
      <c r="K270" s="2"/>
    </row>
    <row r="271" spans="1:11">
      <c r="A271" s="11"/>
      <c r="B271" s="2" t="s">
        <v>246</v>
      </c>
      <c r="C271" s="10" t="s">
        <v>127</v>
      </c>
      <c r="D271" s="11">
        <v>611021</v>
      </c>
      <c r="E271" s="11">
        <v>1113</v>
      </c>
      <c r="F271" s="2" t="s">
        <v>133</v>
      </c>
      <c r="G271" s="2" t="s">
        <v>12</v>
      </c>
      <c r="H271" s="21">
        <v>3</v>
      </c>
      <c r="I271" s="3">
        <v>200</v>
      </c>
      <c r="J271" s="36">
        <f t="shared" si="8"/>
        <v>600</v>
      </c>
      <c r="K271" s="2"/>
    </row>
    <row r="272" spans="1:11">
      <c r="A272" s="11"/>
      <c r="B272" s="2" t="s">
        <v>246</v>
      </c>
      <c r="C272" s="10" t="s">
        <v>127</v>
      </c>
      <c r="D272" s="11">
        <v>613242</v>
      </c>
      <c r="E272" s="11" t="s">
        <v>125</v>
      </c>
      <c r="F272" s="2" t="s">
        <v>57</v>
      </c>
      <c r="G272" s="2" t="s">
        <v>12</v>
      </c>
      <c r="H272" s="21">
        <v>5</v>
      </c>
      <c r="I272" s="3">
        <v>80</v>
      </c>
      <c r="J272" s="36">
        <f t="shared" si="8"/>
        <v>400</v>
      </c>
      <c r="K272" s="2"/>
    </row>
    <row r="273" spans="1:11">
      <c r="A273" s="11"/>
      <c r="B273" s="2" t="s">
        <v>246</v>
      </c>
      <c r="C273" s="10" t="s">
        <v>127</v>
      </c>
      <c r="D273" s="11">
        <v>613242</v>
      </c>
      <c r="E273" s="11" t="s">
        <v>125</v>
      </c>
      <c r="F273" s="2" t="s">
        <v>321</v>
      </c>
      <c r="G273" s="2" t="s">
        <v>12</v>
      </c>
      <c r="H273" s="21">
        <v>10</v>
      </c>
      <c r="I273" s="3">
        <v>30</v>
      </c>
      <c r="J273" s="36">
        <f t="shared" si="8"/>
        <v>300</v>
      </c>
      <c r="K273" s="2"/>
    </row>
    <row r="274" spans="1:11">
      <c r="A274" s="11"/>
      <c r="B274" s="2" t="s">
        <v>246</v>
      </c>
      <c r="C274" s="10" t="s">
        <v>127</v>
      </c>
      <c r="D274" s="11">
        <v>613242</v>
      </c>
      <c r="E274" s="11" t="s">
        <v>125</v>
      </c>
      <c r="F274" s="2" t="s">
        <v>322</v>
      </c>
      <c r="G274" s="2" t="s">
        <v>12</v>
      </c>
      <c r="H274" s="21">
        <v>6</v>
      </c>
      <c r="I274" s="3">
        <v>250</v>
      </c>
      <c r="J274" s="36">
        <f t="shared" si="8"/>
        <v>1500</v>
      </c>
      <c r="K274" s="2"/>
    </row>
    <row r="275" spans="1:11">
      <c r="A275" s="11"/>
      <c r="B275" s="2" t="s">
        <v>246</v>
      </c>
      <c r="C275" s="10" t="s">
        <v>127</v>
      </c>
      <c r="D275" s="11">
        <v>613242</v>
      </c>
      <c r="E275" s="11" t="s">
        <v>134</v>
      </c>
      <c r="F275" s="2" t="s">
        <v>128</v>
      </c>
      <c r="G275" s="2" t="s">
        <v>12</v>
      </c>
      <c r="H275" s="21">
        <v>16</v>
      </c>
      <c r="I275" s="3">
        <v>10</v>
      </c>
      <c r="J275" s="36">
        <f t="shared" si="8"/>
        <v>160</v>
      </c>
      <c r="K275" s="2"/>
    </row>
    <row r="276" spans="1:11">
      <c r="A276" s="11"/>
      <c r="B276" s="2" t="s">
        <v>246</v>
      </c>
      <c r="C276" s="10" t="s">
        <v>115</v>
      </c>
      <c r="D276" s="11">
        <v>611021</v>
      </c>
      <c r="E276" s="11">
        <v>1114</v>
      </c>
      <c r="F276" s="2" t="s">
        <v>323</v>
      </c>
      <c r="G276" s="2" t="s">
        <v>12</v>
      </c>
      <c r="H276" s="21">
        <v>30</v>
      </c>
      <c r="I276" s="3">
        <v>1073</v>
      </c>
      <c r="J276" s="36">
        <f t="shared" si="8"/>
        <v>32190</v>
      </c>
      <c r="K276" s="2"/>
    </row>
    <row r="277" spans="1:11">
      <c r="A277" s="11"/>
      <c r="B277" s="2" t="s">
        <v>246</v>
      </c>
      <c r="C277" s="10" t="s">
        <v>144</v>
      </c>
      <c r="D277" s="11">
        <v>611021</v>
      </c>
      <c r="E277" s="11">
        <v>1514</v>
      </c>
      <c r="F277" s="2" t="s">
        <v>324</v>
      </c>
      <c r="G277" s="2" t="s">
        <v>146</v>
      </c>
      <c r="H277" s="21" t="s">
        <v>325</v>
      </c>
      <c r="I277" s="3">
        <v>42.12</v>
      </c>
      <c r="J277" s="36">
        <v>673.99</v>
      </c>
      <c r="K277" s="2"/>
    </row>
    <row r="278" spans="1:11">
      <c r="A278" s="12"/>
      <c r="B278" s="4"/>
      <c r="C278" s="17"/>
      <c r="D278" s="12"/>
      <c r="E278" s="12"/>
      <c r="F278" s="4" t="s">
        <v>14</v>
      </c>
      <c r="G278" s="4"/>
      <c r="H278" s="22"/>
      <c r="I278" s="5"/>
      <c r="J278" s="5">
        <f>SUM(J234:J277)</f>
        <v>70268.63</v>
      </c>
      <c r="K278" s="4"/>
    </row>
    <row r="279" spans="1:11">
      <c r="A279" s="19">
        <v>8</v>
      </c>
      <c r="B279" s="8" t="s">
        <v>48</v>
      </c>
      <c r="C279" s="10" t="s">
        <v>211</v>
      </c>
      <c r="D279" s="11">
        <v>611021</v>
      </c>
      <c r="E279" s="11">
        <v>1514</v>
      </c>
      <c r="F279" s="2" t="s">
        <v>100</v>
      </c>
      <c r="G279" s="2" t="s">
        <v>92</v>
      </c>
      <c r="H279" s="21">
        <v>61.53</v>
      </c>
      <c r="I279" s="3">
        <v>52</v>
      </c>
      <c r="J279" s="36">
        <v>3200</v>
      </c>
      <c r="K279" s="8"/>
    </row>
    <row r="280" spans="1:11">
      <c r="A280" s="19"/>
      <c r="B280" s="8" t="s">
        <v>48</v>
      </c>
      <c r="C280" s="10" t="s">
        <v>115</v>
      </c>
      <c r="D280" s="11">
        <v>611021</v>
      </c>
      <c r="E280" s="11">
        <v>1113</v>
      </c>
      <c r="F280" s="2" t="s">
        <v>101</v>
      </c>
      <c r="G280" s="2" t="s">
        <v>12</v>
      </c>
      <c r="H280" s="21">
        <v>30</v>
      </c>
      <c r="I280" s="3">
        <v>1073</v>
      </c>
      <c r="J280" s="36">
        <f t="shared" ref="J280:J310" si="9">H280*I280</f>
        <v>32190</v>
      </c>
      <c r="K280" s="8"/>
    </row>
    <row r="281" spans="1:11">
      <c r="A281" s="19"/>
      <c r="B281" s="8" t="s">
        <v>48</v>
      </c>
      <c r="C281" s="10" t="s">
        <v>115</v>
      </c>
      <c r="D281" s="11">
        <v>613242</v>
      </c>
      <c r="E281" s="11">
        <v>1113</v>
      </c>
      <c r="F281" s="2" t="s">
        <v>171</v>
      </c>
      <c r="G281" s="2" t="s">
        <v>12</v>
      </c>
      <c r="H281" s="23">
        <v>1</v>
      </c>
      <c r="I281" s="9">
        <v>5046.66</v>
      </c>
      <c r="J281" s="36">
        <f t="shared" si="9"/>
        <v>5046.66</v>
      </c>
      <c r="K281" s="8"/>
    </row>
    <row r="282" spans="1:11">
      <c r="A282" s="19"/>
      <c r="B282" s="8" t="s">
        <v>48</v>
      </c>
      <c r="C282" s="10" t="s">
        <v>115</v>
      </c>
      <c r="D282" s="11">
        <v>613242</v>
      </c>
      <c r="E282" s="11">
        <v>1113</v>
      </c>
      <c r="F282" s="2" t="s">
        <v>212</v>
      </c>
      <c r="G282" s="2" t="s">
        <v>12</v>
      </c>
      <c r="H282" s="23">
        <v>3</v>
      </c>
      <c r="I282" s="9">
        <v>682.4</v>
      </c>
      <c r="J282" s="36">
        <f t="shared" si="9"/>
        <v>2047.1999999999998</v>
      </c>
      <c r="K282" s="8"/>
    </row>
    <row r="283" spans="1:11">
      <c r="A283" s="19"/>
      <c r="B283" s="8" t="s">
        <v>48</v>
      </c>
      <c r="C283" s="10" t="s">
        <v>115</v>
      </c>
      <c r="D283" s="11">
        <v>613242</v>
      </c>
      <c r="E283" s="11">
        <v>1113</v>
      </c>
      <c r="F283" s="2" t="s">
        <v>194</v>
      </c>
      <c r="G283" s="2" t="s">
        <v>12</v>
      </c>
      <c r="H283" s="23">
        <v>1</v>
      </c>
      <c r="I283" s="9">
        <v>1974.78</v>
      </c>
      <c r="J283" s="36">
        <f t="shared" si="9"/>
        <v>1974.78</v>
      </c>
      <c r="K283" s="8"/>
    </row>
    <row r="284" spans="1:11">
      <c r="A284" s="19"/>
      <c r="B284" s="8" t="s">
        <v>48</v>
      </c>
      <c r="C284" s="10" t="s">
        <v>127</v>
      </c>
      <c r="D284" s="11">
        <v>613242</v>
      </c>
      <c r="E284" s="11" t="s">
        <v>134</v>
      </c>
      <c r="F284" s="2" t="s">
        <v>326</v>
      </c>
      <c r="G284" s="2" t="s">
        <v>12</v>
      </c>
      <c r="H284" s="23">
        <v>5</v>
      </c>
      <c r="I284" s="9">
        <v>648</v>
      </c>
      <c r="J284" s="36">
        <f t="shared" si="9"/>
        <v>3240</v>
      </c>
      <c r="K284" s="8"/>
    </row>
    <row r="285" spans="1:11">
      <c r="A285" s="19"/>
      <c r="B285" s="8" t="s">
        <v>48</v>
      </c>
      <c r="C285" s="10" t="s">
        <v>127</v>
      </c>
      <c r="D285" s="11">
        <v>613242</v>
      </c>
      <c r="E285" s="11" t="s">
        <v>134</v>
      </c>
      <c r="F285" s="2" t="s">
        <v>128</v>
      </c>
      <c r="G285" s="2" t="s">
        <v>12</v>
      </c>
      <c r="H285" s="23">
        <v>5</v>
      </c>
      <c r="I285" s="9">
        <v>17.649999999999999</v>
      </c>
      <c r="J285" s="36">
        <f t="shared" si="9"/>
        <v>88.25</v>
      </c>
      <c r="K285" s="8"/>
    </row>
    <row r="286" spans="1:11">
      <c r="A286" s="19"/>
      <c r="B286" s="8" t="s">
        <v>48</v>
      </c>
      <c r="C286" s="10" t="s">
        <v>127</v>
      </c>
      <c r="D286" s="11">
        <v>613242</v>
      </c>
      <c r="E286" s="11" t="s">
        <v>134</v>
      </c>
      <c r="F286" s="2" t="s">
        <v>202</v>
      </c>
      <c r="G286" s="2" t="s">
        <v>12</v>
      </c>
      <c r="H286" s="23">
        <v>200</v>
      </c>
      <c r="I286" s="9">
        <v>1.33</v>
      </c>
      <c r="J286" s="36">
        <f t="shared" si="9"/>
        <v>266</v>
      </c>
      <c r="K286" s="8"/>
    </row>
    <row r="287" spans="1:11">
      <c r="A287" s="19"/>
      <c r="B287" s="8" t="s">
        <v>48</v>
      </c>
      <c r="C287" s="10" t="s">
        <v>127</v>
      </c>
      <c r="D287" s="11">
        <v>613242</v>
      </c>
      <c r="E287" s="11" t="s">
        <v>134</v>
      </c>
      <c r="F287" s="2" t="s">
        <v>234</v>
      </c>
      <c r="G287" s="2"/>
      <c r="H287" s="23">
        <v>400</v>
      </c>
      <c r="I287" s="9">
        <v>1.99</v>
      </c>
      <c r="J287" s="36">
        <f t="shared" si="9"/>
        <v>796</v>
      </c>
      <c r="K287" s="8"/>
    </row>
    <row r="288" spans="1:11">
      <c r="A288" s="19"/>
      <c r="B288" s="8" t="s">
        <v>48</v>
      </c>
      <c r="C288" s="10" t="s">
        <v>127</v>
      </c>
      <c r="D288" s="11">
        <v>613242</v>
      </c>
      <c r="E288" s="11" t="s">
        <v>134</v>
      </c>
      <c r="F288" s="2" t="s">
        <v>142</v>
      </c>
      <c r="G288" s="2"/>
      <c r="H288" s="23">
        <v>200</v>
      </c>
      <c r="I288" s="9">
        <v>0.79</v>
      </c>
      <c r="J288" s="36">
        <f t="shared" si="9"/>
        <v>158</v>
      </c>
      <c r="K288" s="8"/>
    </row>
    <row r="289" spans="1:11">
      <c r="A289" s="19"/>
      <c r="B289" s="8" t="s">
        <v>48</v>
      </c>
      <c r="C289" s="10" t="s">
        <v>127</v>
      </c>
      <c r="D289" s="11">
        <v>613242</v>
      </c>
      <c r="E289" s="11" t="s">
        <v>134</v>
      </c>
      <c r="F289" s="2" t="s">
        <v>193</v>
      </c>
      <c r="G289" s="2"/>
      <c r="H289" s="23">
        <v>200</v>
      </c>
      <c r="I289" s="9">
        <v>1.58</v>
      </c>
      <c r="J289" s="36">
        <f t="shared" si="9"/>
        <v>316</v>
      </c>
      <c r="K289" s="8"/>
    </row>
    <row r="290" spans="1:11">
      <c r="A290" s="19"/>
      <c r="B290" s="8" t="s">
        <v>48</v>
      </c>
      <c r="C290" s="10" t="s">
        <v>127</v>
      </c>
      <c r="D290" s="11">
        <v>613242</v>
      </c>
      <c r="E290" s="11" t="s">
        <v>134</v>
      </c>
      <c r="F290" s="2" t="s">
        <v>176</v>
      </c>
      <c r="G290" s="2"/>
      <c r="H290" s="23">
        <v>20</v>
      </c>
      <c r="I290" s="9">
        <v>9.6</v>
      </c>
      <c r="J290" s="36">
        <f t="shared" si="9"/>
        <v>192</v>
      </c>
      <c r="K290" s="8"/>
    </row>
    <row r="291" spans="1:11">
      <c r="A291" s="19"/>
      <c r="B291" s="8" t="s">
        <v>48</v>
      </c>
      <c r="C291" s="10" t="s">
        <v>127</v>
      </c>
      <c r="D291" s="11">
        <v>611021</v>
      </c>
      <c r="E291" s="11">
        <v>1114</v>
      </c>
      <c r="F291" s="2" t="s">
        <v>327</v>
      </c>
      <c r="G291" s="2"/>
      <c r="H291" s="23">
        <v>2</v>
      </c>
      <c r="I291" s="9">
        <v>895</v>
      </c>
      <c r="J291" s="36">
        <f t="shared" si="9"/>
        <v>1790</v>
      </c>
      <c r="K291" s="8"/>
    </row>
    <row r="292" spans="1:11">
      <c r="A292" s="19"/>
      <c r="B292" s="8" t="s">
        <v>48</v>
      </c>
      <c r="C292" s="10" t="s">
        <v>127</v>
      </c>
      <c r="D292" s="11">
        <v>611021</v>
      </c>
      <c r="E292" s="11">
        <v>1113</v>
      </c>
      <c r="F292" s="2" t="s">
        <v>252</v>
      </c>
      <c r="G292" s="2"/>
      <c r="H292" s="23">
        <v>1</v>
      </c>
      <c r="I292" s="9">
        <v>1925</v>
      </c>
      <c r="J292" s="36">
        <f t="shared" si="9"/>
        <v>1925</v>
      </c>
      <c r="K292" s="8"/>
    </row>
    <row r="293" spans="1:11">
      <c r="A293" s="19"/>
      <c r="B293" s="8" t="s">
        <v>48</v>
      </c>
      <c r="C293" s="10" t="s">
        <v>127</v>
      </c>
      <c r="D293" s="11">
        <v>611021</v>
      </c>
      <c r="E293" s="11">
        <v>1114</v>
      </c>
      <c r="F293" s="2" t="s">
        <v>178</v>
      </c>
      <c r="G293" s="2"/>
      <c r="H293" s="23">
        <v>20</v>
      </c>
      <c r="I293" s="9">
        <v>175</v>
      </c>
      <c r="J293" s="36">
        <f t="shared" si="9"/>
        <v>3500</v>
      </c>
      <c r="K293" s="8"/>
    </row>
    <row r="294" spans="1:11">
      <c r="A294" s="19"/>
      <c r="B294" s="8" t="s">
        <v>48</v>
      </c>
      <c r="C294" s="10" t="s">
        <v>127</v>
      </c>
      <c r="D294" s="11">
        <v>611021</v>
      </c>
      <c r="E294" s="11">
        <v>1114</v>
      </c>
      <c r="F294" s="2" t="s">
        <v>179</v>
      </c>
      <c r="G294" s="2"/>
      <c r="H294" s="23">
        <v>7</v>
      </c>
      <c r="I294" s="9">
        <v>125</v>
      </c>
      <c r="J294" s="36">
        <f t="shared" si="9"/>
        <v>875</v>
      </c>
      <c r="K294" s="8"/>
    </row>
    <row r="295" spans="1:11">
      <c r="A295" s="19"/>
      <c r="B295" s="8" t="s">
        <v>48</v>
      </c>
      <c r="C295" s="10" t="s">
        <v>127</v>
      </c>
      <c r="D295" s="11">
        <v>611021</v>
      </c>
      <c r="E295" s="11" t="s">
        <v>125</v>
      </c>
      <c r="F295" s="2" t="s">
        <v>305</v>
      </c>
      <c r="G295" s="2"/>
      <c r="H295" s="23">
        <v>1</v>
      </c>
      <c r="I295" s="9">
        <v>882</v>
      </c>
      <c r="J295" s="36">
        <f t="shared" si="9"/>
        <v>882</v>
      </c>
      <c r="K295" s="8"/>
    </row>
    <row r="296" spans="1:11">
      <c r="A296" s="19"/>
      <c r="B296" s="8" t="s">
        <v>48</v>
      </c>
      <c r="C296" s="10" t="s">
        <v>127</v>
      </c>
      <c r="D296" s="11">
        <v>613242</v>
      </c>
      <c r="E296" s="11" t="s">
        <v>125</v>
      </c>
      <c r="F296" s="2" t="s">
        <v>69</v>
      </c>
      <c r="G296" s="2"/>
      <c r="H296" s="23">
        <v>5</v>
      </c>
      <c r="I296" s="9">
        <v>14.9</v>
      </c>
      <c r="J296" s="36">
        <f t="shared" si="9"/>
        <v>74.5</v>
      </c>
      <c r="K296" s="8"/>
    </row>
    <row r="297" spans="1:11">
      <c r="A297" s="19"/>
      <c r="B297" s="8" t="s">
        <v>48</v>
      </c>
      <c r="C297" s="10" t="s">
        <v>127</v>
      </c>
      <c r="D297" s="11">
        <v>613242</v>
      </c>
      <c r="E297" s="11" t="s">
        <v>125</v>
      </c>
      <c r="F297" s="2" t="s">
        <v>328</v>
      </c>
      <c r="G297" s="2"/>
      <c r="H297" s="23">
        <v>5</v>
      </c>
      <c r="I297" s="9">
        <v>79</v>
      </c>
      <c r="J297" s="36">
        <f t="shared" si="9"/>
        <v>395</v>
      </c>
      <c r="K297" s="8"/>
    </row>
    <row r="298" spans="1:11">
      <c r="A298" s="19"/>
      <c r="B298" s="8" t="s">
        <v>48</v>
      </c>
      <c r="C298" s="10" t="s">
        <v>127</v>
      </c>
      <c r="D298" s="11">
        <v>613242</v>
      </c>
      <c r="E298" s="11" t="s">
        <v>125</v>
      </c>
      <c r="F298" s="2" t="s">
        <v>306</v>
      </c>
      <c r="G298" s="2"/>
      <c r="H298" s="23">
        <v>52.5</v>
      </c>
      <c r="I298" s="9">
        <v>9.6</v>
      </c>
      <c r="J298" s="36">
        <f t="shared" si="9"/>
        <v>504</v>
      </c>
      <c r="K298" s="8"/>
    </row>
    <row r="299" spans="1:11">
      <c r="A299" s="19"/>
      <c r="B299" s="8" t="s">
        <v>48</v>
      </c>
      <c r="C299" s="10" t="s">
        <v>127</v>
      </c>
      <c r="D299" s="11">
        <v>613242</v>
      </c>
      <c r="E299" s="11" t="s">
        <v>134</v>
      </c>
      <c r="F299" s="2" t="s">
        <v>45</v>
      </c>
      <c r="G299" s="2"/>
      <c r="H299" s="23">
        <v>1</v>
      </c>
      <c r="I299" s="9">
        <v>39.700000000000003</v>
      </c>
      <c r="J299" s="36">
        <f t="shared" si="9"/>
        <v>39.700000000000003</v>
      </c>
      <c r="K299" s="8"/>
    </row>
    <row r="300" spans="1:11">
      <c r="A300" s="19"/>
      <c r="B300" s="8" t="s">
        <v>48</v>
      </c>
      <c r="C300" s="10" t="s">
        <v>127</v>
      </c>
      <c r="D300" s="11">
        <v>613242</v>
      </c>
      <c r="E300" s="11" t="s">
        <v>134</v>
      </c>
      <c r="F300" s="2" t="s">
        <v>102</v>
      </c>
      <c r="G300" s="2"/>
      <c r="H300" s="23">
        <v>3</v>
      </c>
      <c r="I300" s="9">
        <v>12.5</v>
      </c>
      <c r="J300" s="36">
        <f t="shared" si="9"/>
        <v>37.5</v>
      </c>
      <c r="K300" s="8"/>
    </row>
    <row r="301" spans="1:11">
      <c r="A301" s="19"/>
      <c r="B301" s="8" t="s">
        <v>48</v>
      </c>
      <c r="C301" s="10" t="s">
        <v>127</v>
      </c>
      <c r="D301" s="11">
        <v>613242</v>
      </c>
      <c r="E301" s="11" t="s">
        <v>134</v>
      </c>
      <c r="F301" s="2" t="s">
        <v>22</v>
      </c>
      <c r="G301" s="2"/>
      <c r="H301" s="23">
        <v>30</v>
      </c>
      <c r="I301" s="9">
        <v>13.7</v>
      </c>
      <c r="J301" s="36">
        <f t="shared" si="9"/>
        <v>411</v>
      </c>
      <c r="K301" s="8"/>
    </row>
    <row r="302" spans="1:11">
      <c r="A302" s="19"/>
      <c r="B302" s="8" t="s">
        <v>48</v>
      </c>
      <c r="C302" s="10" t="s">
        <v>127</v>
      </c>
      <c r="D302" s="11">
        <v>613242</v>
      </c>
      <c r="E302" s="11" t="s">
        <v>134</v>
      </c>
      <c r="F302" s="2" t="s">
        <v>106</v>
      </c>
      <c r="G302" s="2"/>
      <c r="H302" s="23">
        <v>30</v>
      </c>
      <c r="I302" s="9">
        <v>37.200000000000003</v>
      </c>
      <c r="J302" s="36">
        <f t="shared" si="9"/>
        <v>1116</v>
      </c>
      <c r="K302" s="8"/>
    </row>
    <row r="303" spans="1:11">
      <c r="A303" s="19"/>
      <c r="B303" s="8" t="s">
        <v>48</v>
      </c>
      <c r="C303" s="10" t="s">
        <v>127</v>
      </c>
      <c r="D303" s="11">
        <v>613242</v>
      </c>
      <c r="E303" s="11" t="s">
        <v>125</v>
      </c>
      <c r="F303" s="2" t="s">
        <v>182</v>
      </c>
      <c r="G303" s="2"/>
      <c r="H303" s="23">
        <v>12</v>
      </c>
      <c r="I303" s="9">
        <v>55</v>
      </c>
      <c r="J303" s="36">
        <f t="shared" si="9"/>
        <v>660</v>
      </c>
      <c r="K303" s="8"/>
    </row>
    <row r="304" spans="1:11">
      <c r="A304" s="19"/>
      <c r="B304" s="8" t="s">
        <v>48</v>
      </c>
      <c r="C304" s="10" t="s">
        <v>127</v>
      </c>
      <c r="D304" s="11">
        <v>613242</v>
      </c>
      <c r="E304" s="11" t="s">
        <v>125</v>
      </c>
      <c r="F304" s="2" t="s">
        <v>235</v>
      </c>
      <c r="G304" s="2"/>
      <c r="H304" s="23">
        <f>1+12+12</f>
        <v>25</v>
      </c>
      <c r="I304" s="9"/>
      <c r="J304" s="36">
        <f>470+1158+816</f>
        <v>2444</v>
      </c>
      <c r="K304" s="8"/>
    </row>
    <row r="305" spans="1:11">
      <c r="A305" s="19"/>
      <c r="B305" s="8" t="s">
        <v>48</v>
      </c>
      <c r="C305" s="10" t="s">
        <v>127</v>
      </c>
      <c r="D305" s="11">
        <v>613242</v>
      </c>
      <c r="E305" s="11" t="s">
        <v>125</v>
      </c>
      <c r="F305" s="2" t="s">
        <v>185</v>
      </c>
      <c r="G305" s="2"/>
      <c r="H305" s="23">
        <v>20</v>
      </c>
      <c r="I305" s="9">
        <v>38.86</v>
      </c>
      <c r="J305" s="36">
        <f t="shared" si="9"/>
        <v>777.2</v>
      </c>
      <c r="K305" s="8"/>
    </row>
    <row r="306" spans="1:11">
      <c r="A306" s="19"/>
      <c r="B306" s="8" t="s">
        <v>48</v>
      </c>
      <c r="C306" s="10" t="s">
        <v>127</v>
      </c>
      <c r="D306" s="11">
        <v>613242</v>
      </c>
      <c r="E306" s="11" t="s">
        <v>125</v>
      </c>
      <c r="F306" s="2" t="s">
        <v>186</v>
      </c>
      <c r="G306" s="2"/>
      <c r="H306" s="23">
        <v>1</v>
      </c>
      <c r="I306" s="9">
        <v>416.94</v>
      </c>
      <c r="J306" s="36">
        <f t="shared" si="9"/>
        <v>416.94</v>
      </c>
      <c r="K306" s="8"/>
    </row>
    <row r="307" spans="1:11">
      <c r="A307" s="19"/>
      <c r="B307" s="8" t="s">
        <v>48</v>
      </c>
      <c r="C307" s="10" t="s">
        <v>127</v>
      </c>
      <c r="D307" s="11">
        <v>613242</v>
      </c>
      <c r="E307" s="11">
        <v>1113</v>
      </c>
      <c r="F307" s="2" t="s">
        <v>187</v>
      </c>
      <c r="G307" s="2" t="s">
        <v>12</v>
      </c>
      <c r="H307" s="23">
        <v>3</v>
      </c>
      <c r="I307" s="9">
        <v>302.5</v>
      </c>
      <c r="J307" s="36">
        <f t="shared" si="9"/>
        <v>907.5</v>
      </c>
      <c r="K307" s="8"/>
    </row>
    <row r="308" spans="1:11">
      <c r="A308" s="19"/>
      <c r="B308" s="8" t="s">
        <v>48</v>
      </c>
      <c r="C308" s="10" t="s">
        <v>127</v>
      </c>
      <c r="D308" s="11">
        <v>613242</v>
      </c>
      <c r="E308" s="11">
        <v>1113</v>
      </c>
      <c r="F308" s="2" t="s">
        <v>255</v>
      </c>
      <c r="G308" s="2" t="s">
        <v>12</v>
      </c>
      <c r="H308" s="23">
        <v>10</v>
      </c>
      <c r="I308" s="9">
        <v>45.9</v>
      </c>
      <c r="J308" s="36">
        <f t="shared" si="9"/>
        <v>459</v>
      </c>
      <c r="K308" s="8"/>
    </row>
    <row r="309" spans="1:11">
      <c r="A309" s="19"/>
      <c r="B309" s="8" t="s">
        <v>48</v>
      </c>
      <c r="C309" s="10" t="s">
        <v>127</v>
      </c>
      <c r="D309" s="11">
        <v>613242</v>
      </c>
      <c r="E309" s="11">
        <v>1113</v>
      </c>
      <c r="F309" s="2" t="s">
        <v>110</v>
      </c>
      <c r="G309" s="2" t="s">
        <v>12</v>
      </c>
      <c r="H309" s="23">
        <v>10</v>
      </c>
      <c r="I309" s="9">
        <v>68</v>
      </c>
      <c r="J309" s="36">
        <f t="shared" si="9"/>
        <v>680</v>
      </c>
      <c r="K309" s="8"/>
    </row>
    <row r="310" spans="1:11">
      <c r="A310" s="19"/>
      <c r="B310" s="8" t="s">
        <v>48</v>
      </c>
      <c r="C310" s="10" t="s">
        <v>127</v>
      </c>
      <c r="D310" s="11">
        <v>613242</v>
      </c>
      <c r="E310" s="11" t="s">
        <v>125</v>
      </c>
      <c r="F310" s="2" t="s">
        <v>189</v>
      </c>
      <c r="G310" s="2" t="s">
        <v>12</v>
      </c>
      <c r="H310" s="23">
        <v>5</v>
      </c>
      <c r="I310" s="9">
        <v>150</v>
      </c>
      <c r="J310" s="36">
        <f t="shared" si="9"/>
        <v>750</v>
      </c>
      <c r="K310" s="8"/>
    </row>
    <row r="311" spans="1:11">
      <c r="A311" s="19"/>
      <c r="B311" s="8" t="s">
        <v>48</v>
      </c>
      <c r="C311" s="10" t="s">
        <v>144</v>
      </c>
      <c r="D311" s="11">
        <v>611021</v>
      </c>
      <c r="E311" s="11">
        <v>1514</v>
      </c>
      <c r="F311" s="2" t="s">
        <v>329</v>
      </c>
      <c r="G311" s="2" t="s">
        <v>146</v>
      </c>
      <c r="H311" s="23" t="s">
        <v>325</v>
      </c>
      <c r="I311" s="9">
        <v>42.12</v>
      </c>
      <c r="J311" s="9">
        <v>673.99</v>
      </c>
      <c r="K311" s="8"/>
    </row>
    <row r="312" spans="1:11">
      <c r="A312" s="12"/>
      <c r="B312" s="4"/>
      <c r="C312" s="17"/>
      <c r="D312" s="12"/>
      <c r="E312" s="12"/>
      <c r="F312" s="4" t="s">
        <v>14</v>
      </c>
      <c r="G312" s="4"/>
      <c r="H312" s="22"/>
      <c r="I312" s="5"/>
      <c r="J312" s="5">
        <f>SUM(J279:J311)</f>
        <v>68833.22</v>
      </c>
      <c r="K312" s="4"/>
    </row>
    <row r="313" spans="1:11">
      <c r="A313" s="11">
        <v>9</v>
      </c>
      <c r="B313" s="2" t="s">
        <v>49</v>
      </c>
      <c r="C313" s="10" t="s">
        <v>115</v>
      </c>
      <c r="D313" s="11">
        <v>611021</v>
      </c>
      <c r="E313" s="11">
        <v>1113</v>
      </c>
      <c r="F313" s="2" t="s">
        <v>171</v>
      </c>
      <c r="G313" s="2" t="s">
        <v>12</v>
      </c>
      <c r="H313" s="21">
        <v>2</v>
      </c>
      <c r="I313" s="3">
        <v>5046.66</v>
      </c>
      <c r="J313" s="36">
        <f>H313*I313</f>
        <v>10093.32</v>
      </c>
      <c r="K313" s="2"/>
    </row>
    <row r="314" spans="1:11">
      <c r="A314" s="11"/>
      <c r="B314" s="2" t="s">
        <v>49</v>
      </c>
      <c r="C314" s="10" t="s">
        <v>115</v>
      </c>
      <c r="D314" s="11">
        <v>611021</v>
      </c>
      <c r="E314" s="11">
        <v>1113</v>
      </c>
      <c r="F314" s="2" t="s">
        <v>212</v>
      </c>
      <c r="G314" s="2" t="s">
        <v>12</v>
      </c>
      <c r="H314" s="21">
        <v>4</v>
      </c>
      <c r="I314" s="3">
        <v>682.4</v>
      </c>
      <c r="J314" s="36">
        <f t="shared" ref="J314:J316" si="10">H314*I314</f>
        <v>2729.6</v>
      </c>
      <c r="K314" s="2"/>
    </row>
    <row r="315" spans="1:11">
      <c r="A315" s="11"/>
      <c r="B315" s="2" t="s">
        <v>49</v>
      </c>
      <c r="C315" s="10" t="s">
        <v>115</v>
      </c>
      <c r="D315" s="11">
        <v>611021</v>
      </c>
      <c r="E315" s="11">
        <v>1113</v>
      </c>
      <c r="F315" s="2" t="s">
        <v>194</v>
      </c>
      <c r="G315" s="2" t="s">
        <v>12</v>
      </c>
      <c r="H315" s="21">
        <v>1</v>
      </c>
      <c r="I315" s="3">
        <v>1974.78</v>
      </c>
      <c r="J315" s="36">
        <f t="shared" si="10"/>
        <v>1974.78</v>
      </c>
      <c r="K315" s="2"/>
    </row>
    <row r="316" spans="1:11">
      <c r="A316" s="11"/>
      <c r="B316" s="2" t="s">
        <v>49</v>
      </c>
      <c r="C316" s="10" t="s">
        <v>127</v>
      </c>
      <c r="D316" s="11">
        <v>611021</v>
      </c>
      <c r="E316" s="11">
        <v>1113</v>
      </c>
      <c r="F316" s="2" t="s">
        <v>245</v>
      </c>
      <c r="G316" s="2" t="s">
        <v>12</v>
      </c>
      <c r="H316" s="21">
        <v>15</v>
      </c>
      <c r="I316" s="3">
        <v>1500</v>
      </c>
      <c r="J316" s="36">
        <f t="shared" si="10"/>
        <v>22500</v>
      </c>
      <c r="K316" s="2"/>
    </row>
    <row r="317" spans="1:11">
      <c r="A317" s="12"/>
      <c r="B317" s="4"/>
      <c r="C317" s="17"/>
      <c r="D317" s="12"/>
      <c r="E317" s="12"/>
      <c r="F317" s="4" t="s">
        <v>14</v>
      </c>
      <c r="G317" s="4"/>
      <c r="H317" s="22"/>
      <c r="I317" s="5"/>
      <c r="J317" s="5">
        <f>SUM(J313:J316)</f>
        <v>37297.699999999997</v>
      </c>
      <c r="K317" s="4"/>
    </row>
    <row r="318" spans="1:11" s="26" customFormat="1">
      <c r="A318" s="19"/>
      <c r="B318" s="8" t="s">
        <v>50</v>
      </c>
      <c r="C318" s="31" t="s">
        <v>247</v>
      </c>
      <c r="D318" s="11">
        <v>611021</v>
      </c>
      <c r="E318" s="19" t="s">
        <v>11</v>
      </c>
      <c r="F318" s="8" t="s">
        <v>248</v>
      </c>
      <c r="G318" s="8" t="s">
        <v>27</v>
      </c>
      <c r="H318" s="23">
        <v>1000</v>
      </c>
      <c r="I318" s="9">
        <v>1</v>
      </c>
      <c r="J318" s="36">
        <f>H318*I318</f>
        <v>1000</v>
      </c>
      <c r="K318" s="8"/>
    </row>
    <row r="319" spans="1:11" s="26" customFormat="1">
      <c r="A319" s="19"/>
      <c r="B319" s="8" t="s">
        <v>50</v>
      </c>
      <c r="C319" s="31" t="s">
        <v>247</v>
      </c>
      <c r="D319" s="11">
        <v>611021</v>
      </c>
      <c r="E319" s="19" t="s">
        <v>11</v>
      </c>
      <c r="F319" s="8" t="s">
        <v>249</v>
      </c>
      <c r="G319" s="8" t="s">
        <v>12</v>
      </c>
      <c r="H319" s="23">
        <v>1</v>
      </c>
      <c r="I319" s="9">
        <v>350</v>
      </c>
      <c r="J319" s="36">
        <f t="shared" ref="J319:J321" si="11">H319*I319</f>
        <v>350</v>
      </c>
      <c r="K319" s="8"/>
    </row>
    <row r="320" spans="1:11">
      <c r="A320" s="19"/>
      <c r="B320" s="8" t="s">
        <v>50</v>
      </c>
      <c r="C320" s="31" t="s">
        <v>247</v>
      </c>
      <c r="D320" s="11">
        <v>611021</v>
      </c>
      <c r="E320" s="19" t="s">
        <v>11</v>
      </c>
      <c r="F320" s="2" t="s">
        <v>41</v>
      </c>
      <c r="G320" s="2" t="s">
        <v>12</v>
      </c>
      <c r="H320" s="21">
        <v>120</v>
      </c>
      <c r="I320" s="3">
        <v>5</v>
      </c>
      <c r="J320" s="36">
        <f t="shared" si="11"/>
        <v>600</v>
      </c>
      <c r="K320" s="8"/>
    </row>
    <row r="321" spans="1:11">
      <c r="A321" s="19"/>
      <c r="B321" s="8" t="s">
        <v>50</v>
      </c>
      <c r="C321" s="31" t="s">
        <v>247</v>
      </c>
      <c r="D321" s="11">
        <v>611021</v>
      </c>
      <c r="E321" s="19" t="s">
        <v>11</v>
      </c>
      <c r="F321" s="2" t="s">
        <v>250</v>
      </c>
      <c r="G321" s="2" t="s">
        <v>12</v>
      </c>
      <c r="H321" s="21">
        <v>1</v>
      </c>
      <c r="I321" s="3">
        <v>160</v>
      </c>
      <c r="J321" s="36">
        <f t="shared" si="11"/>
        <v>160</v>
      </c>
      <c r="K321" s="8"/>
    </row>
    <row r="322" spans="1:11">
      <c r="A322" s="12"/>
      <c r="B322" s="4"/>
      <c r="C322" s="17"/>
      <c r="D322" s="12"/>
      <c r="E322" s="12"/>
      <c r="F322" s="4" t="s">
        <v>14</v>
      </c>
      <c r="G322" s="4"/>
      <c r="H322" s="22"/>
      <c r="I322" s="5"/>
      <c r="J322" s="5">
        <f>SUM(J318:J321)</f>
        <v>2110</v>
      </c>
      <c r="K322" s="4"/>
    </row>
    <row r="323" spans="1:11" s="26" customFormat="1">
      <c r="A323" s="19"/>
      <c r="B323" s="8" t="s">
        <v>168</v>
      </c>
      <c r="C323" s="10"/>
      <c r="D323" s="11"/>
      <c r="E323" s="11"/>
      <c r="F323" s="2"/>
      <c r="G323" s="2"/>
      <c r="H323" s="21"/>
      <c r="I323" s="3"/>
      <c r="J323" s="3">
        <f>H323*I323</f>
        <v>0</v>
      </c>
      <c r="K323" s="8"/>
    </row>
    <row r="324" spans="1:11">
      <c r="A324" s="12"/>
      <c r="B324" s="4"/>
      <c r="C324" s="17"/>
      <c r="D324" s="12"/>
      <c r="E324" s="12"/>
      <c r="F324" s="4" t="s">
        <v>14</v>
      </c>
      <c r="G324" s="4"/>
      <c r="H324" s="22"/>
      <c r="I324" s="5"/>
      <c r="J324" s="5">
        <f>SUM(J323)</f>
        <v>0</v>
      </c>
      <c r="K324" s="4"/>
    </row>
    <row r="325" spans="1:11">
      <c r="A325" s="11">
        <v>10</v>
      </c>
      <c r="B325" s="2" t="s">
        <v>108</v>
      </c>
      <c r="C325" s="10" t="s">
        <v>211</v>
      </c>
      <c r="D325" s="11">
        <v>611021</v>
      </c>
      <c r="E325" s="11">
        <v>1514</v>
      </c>
      <c r="F325" s="2" t="s">
        <v>148</v>
      </c>
      <c r="G325" s="2" t="s">
        <v>92</v>
      </c>
      <c r="H325" s="21">
        <v>66.665999999999997</v>
      </c>
      <c r="I325" s="3">
        <v>48</v>
      </c>
      <c r="J325" s="36">
        <v>3200</v>
      </c>
      <c r="K325" s="2"/>
    </row>
    <row r="326" spans="1:11">
      <c r="A326" s="11"/>
      <c r="B326" s="2" t="s">
        <v>108</v>
      </c>
      <c r="C326" s="10" t="s">
        <v>127</v>
      </c>
      <c r="D326" s="11">
        <v>611021</v>
      </c>
      <c r="E326" s="11">
        <v>1113</v>
      </c>
      <c r="F326" s="2" t="s">
        <v>326</v>
      </c>
      <c r="G326" s="2" t="s">
        <v>12</v>
      </c>
      <c r="H326" s="21">
        <v>5</v>
      </c>
      <c r="I326" s="3">
        <v>215</v>
      </c>
      <c r="J326" s="9">
        <f t="shared" ref="J326:J356" si="12">H326*I326</f>
        <v>1075</v>
      </c>
      <c r="K326" s="2"/>
    </row>
    <row r="327" spans="1:11">
      <c r="A327" s="11"/>
      <c r="B327" s="2" t="s">
        <v>108</v>
      </c>
      <c r="C327" s="10" t="s">
        <v>127</v>
      </c>
      <c r="D327" s="11">
        <v>613242</v>
      </c>
      <c r="E327" s="11" t="s">
        <v>134</v>
      </c>
      <c r="F327" s="2" t="s">
        <v>128</v>
      </c>
      <c r="G327" s="2" t="s">
        <v>12</v>
      </c>
      <c r="H327" s="23">
        <v>5</v>
      </c>
      <c r="I327" s="9">
        <v>20</v>
      </c>
      <c r="J327" s="9">
        <f t="shared" si="12"/>
        <v>100</v>
      </c>
      <c r="K327" s="2"/>
    </row>
    <row r="328" spans="1:11">
      <c r="A328" s="11"/>
      <c r="B328" s="2" t="s">
        <v>108</v>
      </c>
      <c r="C328" s="10" t="s">
        <v>127</v>
      </c>
      <c r="D328" s="11">
        <v>613242</v>
      </c>
      <c r="E328" s="11" t="s">
        <v>134</v>
      </c>
      <c r="F328" s="2" t="s">
        <v>202</v>
      </c>
      <c r="G328" s="2" t="s">
        <v>12</v>
      </c>
      <c r="H328" s="23">
        <v>200</v>
      </c>
      <c r="I328" s="9">
        <v>0.65</v>
      </c>
      <c r="J328" s="9">
        <f t="shared" si="12"/>
        <v>130</v>
      </c>
      <c r="K328" s="2"/>
    </row>
    <row r="329" spans="1:11">
      <c r="A329" s="11"/>
      <c r="B329" s="2" t="s">
        <v>108</v>
      </c>
      <c r="C329" s="10" t="s">
        <v>127</v>
      </c>
      <c r="D329" s="11">
        <v>613242</v>
      </c>
      <c r="E329" s="11" t="s">
        <v>134</v>
      </c>
      <c r="F329" s="2" t="s">
        <v>175</v>
      </c>
      <c r="G329" s="2" t="s">
        <v>12</v>
      </c>
      <c r="H329" s="23">
        <v>400</v>
      </c>
      <c r="I329" s="9">
        <v>2.37</v>
      </c>
      <c r="J329" s="9">
        <f t="shared" si="12"/>
        <v>948</v>
      </c>
      <c r="K329" s="2"/>
    </row>
    <row r="330" spans="1:11">
      <c r="A330" s="11"/>
      <c r="B330" s="2" t="s">
        <v>108</v>
      </c>
      <c r="C330" s="10" t="s">
        <v>127</v>
      </c>
      <c r="D330" s="11">
        <v>613242</v>
      </c>
      <c r="E330" s="11" t="s">
        <v>134</v>
      </c>
      <c r="F330" s="2" t="s">
        <v>142</v>
      </c>
      <c r="G330" s="2" t="s">
        <v>12</v>
      </c>
      <c r="H330" s="23">
        <v>200</v>
      </c>
      <c r="I330" s="9">
        <v>1.38</v>
      </c>
      <c r="J330" s="9">
        <f t="shared" si="12"/>
        <v>276</v>
      </c>
      <c r="K330" s="2"/>
    </row>
    <row r="331" spans="1:11">
      <c r="A331" s="11"/>
      <c r="B331" s="2" t="s">
        <v>108</v>
      </c>
      <c r="C331" s="10" t="s">
        <v>127</v>
      </c>
      <c r="D331" s="11">
        <v>611021</v>
      </c>
      <c r="E331" s="11">
        <v>1113</v>
      </c>
      <c r="F331" s="2" t="s">
        <v>193</v>
      </c>
      <c r="G331" s="2" t="s">
        <v>12</v>
      </c>
      <c r="H331" s="23">
        <v>200</v>
      </c>
      <c r="I331" s="9">
        <v>1.5</v>
      </c>
      <c r="J331" s="9">
        <f t="shared" si="12"/>
        <v>300</v>
      </c>
      <c r="K331" s="2"/>
    </row>
    <row r="332" spans="1:11">
      <c r="A332" s="11"/>
      <c r="B332" s="2" t="s">
        <v>108</v>
      </c>
      <c r="C332" s="10" t="s">
        <v>127</v>
      </c>
      <c r="D332" s="11">
        <v>613242</v>
      </c>
      <c r="E332" s="11" t="s">
        <v>134</v>
      </c>
      <c r="F332" s="2" t="s">
        <v>176</v>
      </c>
      <c r="G332" s="2" t="s">
        <v>12</v>
      </c>
      <c r="H332" s="23">
        <v>20</v>
      </c>
      <c r="I332" s="9">
        <v>9.6</v>
      </c>
      <c r="J332" s="9">
        <f t="shared" si="12"/>
        <v>192</v>
      </c>
      <c r="K332" s="2"/>
    </row>
    <row r="333" spans="1:11">
      <c r="A333" s="11"/>
      <c r="B333" s="2" t="s">
        <v>108</v>
      </c>
      <c r="C333" s="10" t="s">
        <v>127</v>
      </c>
      <c r="D333" s="11">
        <v>611021</v>
      </c>
      <c r="E333" s="11">
        <v>1114</v>
      </c>
      <c r="F333" s="2" t="s">
        <v>327</v>
      </c>
      <c r="G333" s="2" t="s">
        <v>191</v>
      </c>
      <c r="H333" s="23">
        <v>2</v>
      </c>
      <c r="I333" s="9">
        <v>690</v>
      </c>
      <c r="J333" s="9">
        <f t="shared" si="12"/>
        <v>1380</v>
      </c>
      <c r="K333" s="2"/>
    </row>
    <row r="334" spans="1:11">
      <c r="A334" s="11"/>
      <c r="B334" s="2" t="s">
        <v>108</v>
      </c>
      <c r="C334" s="10" t="s">
        <v>127</v>
      </c>
      <c r="D334" s="11">
        <v>611021</v>
      </c>
      <c r="E334" s="11">
        <v>1113</v>
      </c>
      <c r="F334" s="2" t="s">
        <v>330</v>
      </c>
      <c r="G334" s="2" t="s">
        <v>12</v>
      </c>
      <c r="H334" s="23">
        <v>1</v>
      </c>
      <c r="I334" s="9">
        <v>200</v>
      </c>
      <c r="J334" s="9">
        <f t="shared" si="12"/>
        <v>200</v>
      </c>
      <c r="K334" s="2"/>
    </row>
    <row r="335" spans="1:11">
      <c r="A335" s="11"/>
      <c r="B335" s="2" t="s">
        <v>108</v>
      </c>
      <c r="C335" s="10" t="s">
        <v>127</v>
      </c>
      <c r="D335" s="11">
        <v>611021</v>
      </c>
      <c r="E335" s="11">
        <v>1114</v>
      </c>
      <c r="F335" s="2" t="s">
        <v>178</v>
      </c>
      <c r="G335" s="2" t="s">
        <v>12</v>
      </c>
      <c r="H335" s="23">
        <v>20</v>
      </c>
      <c r="I335" s="9">
        <v>140</v>
      </c>
      <c r="J335" s="9">
        <f t="shared" si="12"/>
        <v>2800</v>
      </c>
      <c r="K335" s="2"/>
    </row>
    <row r="336" spans="1:11">
      <c r="A336" s="11"/>
      <c r="B336" s="2" t="s">
        <v>108</v>
      </c>
      <c r="C336" s="10" t="s">
        <v>127</v>
      </c>
      <c r="D336" s="11">
        <v>611021</v>
      </c>
      <c r="E336" s="11">
        <v>1114</v>
      </c>
      <c r="F336" s="2" t="s">
        <v>179</v>
      </c>
      <c r="G336" s="2" t="s">
        <v>12</v>
      </c>
      <c r="H336" s="23">
        <v>7</v>
      </c>
      <c r="I336" s="9">
        <v>170</v>
      </c>
      <c r="J336" s="9">
        <f t="shared" si="12"/>
        <v>1190</v>
      </c>
      <c r="K336" s="2"/>
    </row>
    <row r="337" spans="1:11">
      <c r="A337" s="11"/>
      <c r="B337" s="2" t="s">
        <v>108</v>
      </c>
      <c r="C337" s="10" t="s">
        <v>127</v>
      </c>
      <c r="D337" s="11">
        <v>613242</v>
      </c>
      <c r="E337" s="11" t="s">
        <v>125</v>
      </c>
      <c r="F337" s="2" t="s">
        <v>331</v>
      </c>
      <c r="G337" s="2" t="s">
        <v>12</v>
      </c>
      <c r="H337" s="23">
        <v>1</v>
      </c>
      <c r="I337" s="9">
        <v>900</v>
      </c>
      <c r="J337" s="9">
        <f t="shared" si="12"/>
        <v>900</v>
      </c>
      <c r="K337" s="2"/>
    </row>
    <row r="338" spans="1:11">
      <c r="A338" s="11"/>
      <c r="B338" s="2" t="s">
        <v>108</v>
      </c>
      <c r="C338" s="10" t="s">
        <v>127</v>
      </c>
      <c r="D338" s="11">
        <v>613242</v>
      </c>
      <c r="E338" s="11" t="s">
        <v>125</v>
      </c>
      <c r="F338" s="2" t="s">
        <v>69</v>
      </c>
      <c r="G338" s="2" t="s">
        <v>192</v>
      </c>
      <c r="H338" s="23">
        <v>5</v>
      </c>
      <c r="I338" s="9">
        <v>35</v>
      </c>
      <c r="J338" s="9">
        <f t="shared" si="12"/>
        <v>175</v>
      </c>
      <c r="K338" s="2"/>
    </row>
    <row r="339" spans="1:11">
      <c r="A339" s="11"/>
      <c r="B339" s="2" t="s">
        <v>108</v>
      </c>
      <c r="C339" s="10" t="s">
        <v>127</v>
      </c>
      <c r="D339" s="11">
        <v>613242</v>
      </c>
      <c r="E339" s="11" t="s">
        <v>125</v>
      </c>
      <c r="F339" s="2" t="s">
        <v>328</v>
      </c>
      <c r="G339" s="2" t="s">
        <v>192</v>
      </c>
      <c r="H339" s="23">
        <v>5</v>
      </c>
      <c r="I339" s="9">
        <v>150</v>
      </c>
      <c r="J339" s="9">
        <f t="shared" si="12"/>
        <v>750</v>
      </c>
      <c r="K339" s="2"/>
    </row>
    <row r="340" spans="1:11">
      <c r="A340" s="11"/>
      <c r="B340" s="2" t="s">
        <v>108</v>
      </c>
      <c r="C340" s="10" t="s">
        <v>127</v>
      </c>
      <c r="D340" s="11">
        <v>613242</v>
      </c>
      <c r="E340" s="11" t="s">
        <v>125</v>
      </c>
      <c r="F340" s="2" t="s">
        <v>306</v>
      </c>
      <c r="G340" s="2" t="s">
        <v>92</v>
      </c>
      <c r="H340" s="23">
        <v>52.5</v>
      </c>
      <c r="I340" s="9">
        <v>12</v>
      </c>
      <c r="J340" s="9">
        <f t="shared" si="12"/>
        <v>630</v>
      </c>
      <c r="K340" s="2"/>
    </row>
    <row r="341" spans="1:11">
      <c r="A341" s="11"/>
      <c r="B341" s="2" t="s">
        <v>108</v>
      </c>
      <c r="C341" s="10" t="s">
        <v>127</v>
      </c>
      <c r="D341" s="11">
        <v>613242</v>
      </c>
      <c r="E341" s="11" t="s">
        <v>134</v>
      </c>
      <c r="F341" s="2" t="s">
        <v>45</v>
      </c>
      <c r="G341" s="2" t="s">
        <v>12</v>
      </c>
      <c r="H341" s="23">
        <v>1</v>
      </c>
      <c r="I341" s="9">
        <v>50</v>
      </c>
      <c r="J341" s="9">
        <f t="shared" si="12"/>
        <v>50</v>
      </c>
      <c r="K341" s="2"/>
    </row>
    <row r="342" spans="1:11">
      <c r="A342" s="11"/>
      <c r="B342" s="2" t="s">
        <v>108</v>
      </c>
      <c r="C342" s="10" t="s">
        <v>127</v>
      </c>
      <c r="D342" s="11">
        <v>613242</v>
      </c>
      <c r="E342" s="11" t="s">
        <v>134</v>
      </c>
      <c r="F342" s="2" t="s">
        <v>102</v>
      </c>
      <c r="G342" s="2" t="s">
        <v>12</v>
      </c>
      <c r="H342" s="23">
        <v>3</v>
      </c>
      <c r="I342" s="9">
        <v>15</v>
      </c>
      <c r="J342" s="9">
        <f t="shared" si="12"/>
        <v>45</v>
      </c>
      <c r="K342" s="2"/>
    </row>
    <row r="343" spans="1:11">
      <c r="A343" s="11"/>
      <c r="B343" s="2" t="s">
        <v>108</v>
      </c>
      <c r="C343" s="10" t="s">
        <v>127</v>
      </c>
      <c r="D343" s="11">
        <v>613242</v>
      </c>
      <c r="E343" s="11" t="s">
        <v>134</v>
      </c>
      <c r="F343" s="2" t="s">
        <v>22</v>
      </c>
      <c r="G343" s="2" t="s">
        <v>12</v>
      </c>
      <c r="H343" s="23">
        <v>30</v>
      </c>
      <c r="I343" s="9">
        <v>11</v>
      </c>
      <c r="J343" s="9">
        <f t="shared" si="12"/>
        <v>330</v>
      </c>
      <c r="K343" s="2"/>
    </row>
    <row r="344" spans="1:11">
      <c r="A344" s="11"/>
      <c r="B344" s="2" t="s">
        <v>108</v>
      </c>
      <c r="C344" s="10" t="s">
        <v>127</v>
      </c>
      <c r="D344" s="11">
        <v>613242</v>
      </c>
      <c r="E344" s="11" t="s">
        <v>134</v>
      </c>
      <c r="F344" s="2" t="s">
        <v>106</v>
      </c>
      <c r="G344" s="2" t="s">
        <v>12</v>
      </c>
      <c r="H344" s="23">
        <v>30</v>
      </c>
      <c r="I344" s="9">
        <v>54</v>
      </c>
      <c r="J344" s="9">
        <f t="shared" si="12"/>
        <v>1620</v>
      </c>
      <c r="K344" s="2"/>
    </row>
    <row r="345" spans="1:11">
      <c r="A345" s="11"/>
      <c r="B345" s="2" t="s">
        <v>108</v>
      </c>
      <c r="C345" s="10" t="s">
        <v>127</v>
      </c>
      <c r="D345" s="11">
        <v>613242</v>
      </c>
      <c r="E345" s="11" t="s">
        <v>125</v>
      </c>
      <c r="F345" s="2" t="s">
        <v>182</v>
      </c>
      <c r="G345" s="2" t="s">
        <v>12</v>
      </c>
      <c r="H345" s="23">
        <v>12</v>
      </c>
      <c r="I345" s="9">
        <v>40</v>
      </c>
      <c r="J345" s="9">
        <f t="shared" si="12"/>
        <v>480</v>
      </c>
      <c r="K345" s="2"/>
    </row>
    <row r="346" spans="1:11">
      <c r="A346" s="11"/>
      <c r="B346" s="2" t="s">
        <v>108</v>
      </c>
      <c r="C346" s="10" t="s">
        <v>127</v>
      </c>
      <c r="D346" s="11">
        <v>613242</v>
      </c>
      <c r="E346" s="11" t="s">
        <v>125</v>
      </c>
      <c r="F346" s="2" t="s">
        <v>235</v>
      </c>
      <c r="G346" s="2" t="s">
        <v>12</v>
      </c>
      <c r="H346" s="23">
        <v>25</v>
      </c>
      <c r="I346" s="9"/>
      <c r="J346" s="9">
        <f>560+924+1020</f>
        <v>2504</v>
      </c>
      <c r="K346" s="2"/>
    </row>
    <row r="347" spans="1:11">
      <c r="A347" s="11"/>
      <c r="B347" s="2" t="s">
        <v>108</v>
      </c>
      <c r="C347" s="10" t="s">
        <v>127</v>
      </c>
      <c r="D347" s="11">
        <v>613242</v>
      </c>
      <c r="E347" s="11" t="s">
        <v>125</v>
      </c>
      <c r="F347" s="2" t="s">
        <v>185</v>
      </c>
      <c r="G347" s="2" t="s">
        <v>12</v>
      </c>
      <c r="H347" s="23">
        <v>20</v>
      </c>
      <c r="I347" s="9">
        <v>75</v>
      </c>
      <c r="J347" s="9">
        <f t="shared" si="12"/>
        <v>1500</v>
      </c>
      <c r="K347" s="2"/>
    </row>
    <row r="348" spans="1:11">
      <c r="A348" s="11"/>
      <c r="B348" s="2" t="s">
        <v>108</v>
      </c>
      <c r="C348" s="10" t="s">
        <v>127</v>
      </c>
      <c r="D348" s="11">
        <v>613242</v>
      </c>
      <c r="E348" s="11" t="s">
        <v>125</v>
      </c>
      <c r="F348" s="2" t="s">
        <v>186</v>
      </c>
      <c r="G348" s="2" t="s">
        <v>332</v>
      </c>
      <c r="H348" s="23">
        <v>1</v>
      </c>
      <c r="I348" s="9">
        <v>245</v>
      </c>
      <c r="J348" s="9">
        <f t="shared" si="12"/>
        <v>245</v>
      </c>
      <c r="K348" s="2"/>
    </row>
    <row r="349" spans="1:11">
      <c r="A349" s="11"/>
      <c r="B349" s="2" t="s">
        <v>108</v>
      </c>
      <c r="C349" s="10" t="s">
        <v>127</v>
      </c>
      <c r="D349" s="11">
        <v>613242</v>
      </c>
      <c r="E349" s="11" t="s">
        <v>134</v>
      </c>
      <c r="F349" s="2" t="s">
        <v>187</v>
      </c>
      <c r="G349" s="2" t="s">
        <v>192</v>
      </c>
      <c r="H349" s="23">
        <v>3</v>
      </c>
      <c r="I349" s="9">
        <v>325</v>
      </c>
      <c r="J349" s="9">
        <f t="shared" si="12"/>
        <v>975</v>
      </c>
      <c r="K349" s="2"/>
    </row>
    <row r="350" spans="1:11">
      <c r="A350" s="11"/>
      <c r="B350" s="2" t="s">
        <v>108</v>
      </c>
      <c r="C350" s="10" t="s">
        <v>127</v>
      </c>
      <c r="D350" s="11">
        <v>613242</v>
      </c>
      <c r="E350" s="11" t="s">
        <v>134</v>
      </c>
      <c r="F350" s="2" t="s">
        <v>255</v>
      </c>
      <c r="G350" s="2" t="s">
        <v>192</v>
      </c>
      <c r="H350" s="23">
        <v>10</v>
      </c>
      <c r="I350" s="9">
        <v>70</v>
      </c>
      <c r="J350" s="9">
        <f t="shared" si="12"/>
        <v>700</v>
      </c>
      <c r="K350" s="2"/>
    </row>
    <row r="351" spans="1:11">
      <c r="A351" s="11"/>
      <c r="B351" s="2" t="s">
        <v>108</v>
      </c>
      <c r="C351" s="10" t="s">
        <v>127</v>
      </c>
      <c r="D351" s="11">
        <v>613242</v>
      </c>
      <c r="E351" s="11" t="s">
        <v>134</v>
      </c>
      <c r="F351" s="2" t="s">
        <v>110</v>
      </c>
      <c r="G351" s="2" t="s">
        <v>192</v>
      </c>
      <c r="H351" s="23">
        <v>10</v>
      </c>
      <c r="I351" s="9">
        <v>45</v>
      </c>
      <c r="J351" s="9">
        <f t="shared" si="12"/>
        <v>450</v>
      </c>
      <c r="K351" s="2"/>
    </row>
    <row r="352" spans="1:11">
      <c r="A352" s="11"/>
      <c r="B352" s="2" t="s">
        <v>108</v>
      </c>
      <c r="C352" s="10" t="s">
        <v>127</v>
      </c>
      <c r="D352" s="11">
        <v>613242</v>
      </c>
      <c r="E352" s="11" t="s">
        <v>125</v>
      </c>
      <c r="F352" s="2" t="s">
        <v>189</v>
      </c>
      <c r="G352" s="2" t="s">
        <v>12</v>
      </c>
      <c r="H352" s="23">
        <v>5</v>
      </c>
      <c r="I352" s="9">
        <v>500</v>
      </c>
      <c r="J352" s="9">
        <f t="shared" si="12"/>
        <v>2500</v>
      </c>
      <c r="K352" s="2"/>
    </row>
    <row r="353" spans="1:11">
      <c r="A353" s="11"/>
      <c r="B353" s="2" t="s">
        <v>108</v>
      </c>
      <c r="C353" s="10" t="s">
        <v>115</v>
      </c>
      <c r="D353" s="11">
        <v>611021</v>
      </c>
      <c r="E353" s="11">
        <v>1114</v>
      </c>
      <c r="F353" s="2" t="s">
        <v>101</v>
      </c>
      <c r="G353" s="2" t="s">
        <v>12</v>
      </c>
      <c r="H353" s="23">
        <v>30</v>
      </c>
      <c r="I353" s="9">
        <v>1073</v>
      </c>
      <c r="J353" s="9">
        <f t="shared" si="12"/>
        <v>32190</v>
      </c>
      <c r="K353" s="2"/>
    </row>
    <row r="354" spans="1:11">
      <c r="A354" s="11"/>
      <c r="B354" s="2" t="s">
        <v>108</v>
      </c>
      <c r="C354" s="10" t="s">
        <v>115</v>
      </c>
      <c r="D354" s="11">
        <v>611021</v>
      </c>
      <c r="E354" s="11">
        <v>1113</v>
      </c>
      <c r="F354" s="2" t="s">
        <v>171</v>
      </c>
      <c r="G354" s="2" t="s">
        <v>12</v>
      </c>
      <c r="H354" s="23">
        <v>1</v>
      </c>
      <c r="I354" s="9">
        <v>5046.66</v>
      </c>
      <c r="J354" s="9">
        <f t="shared" si="12"/>
        <v>5046.66</v>
      </c>
      <c r="K354" s="2"/>
    </row>
    <row r="355" spans="1:11">
      <c r="A355" s="11"/>
      <c r="B355" s="2" t="s">
        <v>108</v>
      </c>
      <c r="C355" s="10" t="s">
        <v>115</v>
      </c>
      <c r="D355" s="11">
        <v>611021</v>
      </c>
      <c r="E355" s="11">
        <v>1113</v>
      </c>
      <c r="F355" s="2" t="s">
        <v>212</v>
      </c>
      <c r="G355" s="2" t="s">
        <v>12</v>
      </c>
      <c r="H355" s="23">
        <v>4</v>
      </c>
      <c r="I355" s="9">
        <v>682.4</v>
      </c>
      <c r="J355" s="9">
        <f t="shared" si="12"/>
        <v>2729.6</v>
      </c>
      <c r="K355" s="2"/>
    </row>
    <row r="356" spans="1:11">
      <c r="A356" s="11"/>
      <c r="B356" s="2" t="s">
        <v>108</v>
      </c>
      <c r="C356" s="10" t="s">
        <v>115</v>
      </c>
      <c r="D356" s="11">
        <v>611021</v>
      </c>
      <c r="E356" s="11">
        <v>1113</v>
      </c>
      <c r="F356" s="2" t="s">
        <v>194</v>
      </c>
      <c r="G356" s="2" t="s">
        <v>12</v>
      </c>
      <c r="H356" s="23">
        <v>1</v>
      </c>
      <c r="I356" s="9">
        <v>1974.78</v>
      </c>
      <c r="J356" s="9">
        <f t="shared" si="12"/>
        <v>1974.78</v>
      </c>
      <c r="K356" s="2"/>
    </row>
    <row r="357" spans="1:11">
      <c r="A357" s="12"/>
      <c r="B357" s="4"/>
      <c r="C357" s="17"/>
      <c r="D357" s="12"/>
      <c r="E357" s="12"/>
      <c r="F357" s="4" t="s">
        <v>14</v>
      </c>
      <c r="G357" s="4"/>
      <c r="H357" s="22"/>
      <c r="I357" s="5"/>
      <c r="J357" s="5">
        <f>SUM(J325:J356)</f>
        <v>67586.040000000008</v>
      </c>
      <c r="K357" s="4"/>
    </row>
    <row r="358" spans="1:11">
      <c r="A358" s="19"/>
      <c r="B358" s="8" t="s">
        <v>52</v>
      </c>
      <c r="C358" s="10"/>
      <c r="D358" s="11"/>
      <c r="E358" s="11"/>
      <c r="F358" s="2"/>
      <c r="G358" s="2"/>
      <c r="H358" s="21"/>
      <c r="I358" s="3"/>
      <c r="J358" s="3">
        <f>H358*I358</f>
        <v>0</v>
      </c>
      <c r="K358" s="8"/>
    </row>
    <row r="359" spans="1:11">
      <c r="A359" s="12"/>
      <c r="B359" s="4"/>
      <c r="C359" s="17"/>
      <c r="D359" s="12"/>
      <c r="E359" s="12"/>
      <c r="F359" s="4" t="s">
        <v>14</v>
      </c>
      <c r="G359" s="4"/>
      <c r="H359" s="22"/>
      <c r="I359" s="5"/>
      <c r="J359" s="5">
        <f>SUM(J358)</f>
        <v>0</v>
      </c>
      <c r="K359" s="4"/>
    </row>
    <row r="360" spans="1:11">
      <c r="A360" s="19"/>
      <c r="B360" s="8" t="s">
        <v>84</v>
      </c>
      <c r="C360" s="10" t="s">
        <v>333</v>
      </c>
      <c r="D360" s="11">
        <v>611021</v>
      </c>
      <c r="E360" s="11">
        <v>1113</v>
      </c>
      <c r="F360" s="2" t="s">
        <v>334</v>
      </c>
      <c r="G360" s="2" t="s">
        <v>12</v>
      </c>
      <c r="H360" s="21">
        <v>12</v>
      </c>
      <c r="I360" s="3">
        <v>1807.5</v>
      </c>
      <c r="J360" s="3">
        <f>H360*I360</f>
        <v>21690</v>
      </c>
      <c r="K360" s="8"/>
    </row>
    <row r="361" spans="1:11">
      <c r="A361" s="12"/>
      <c r="B361" s="4"/>
      <c r="C361" s="17"/>
      <c r="D361" s="12"/>
      <c r="E361" s="12"/>
      <c r="F361" s="4" t="s">
        <v>14</v>
      </c>
      <c r="G361" s="4"/>
      <c r="H361" s="22"/>
      <c r="I361" s="5"/>
      <c r="J361" s="5">
        <f>SUM(J360)</f>
        <v>21690</v>
      </c>
      <c r="K361" s="4"/>
    </row>
    <row r="362" spans="1:11">
      <c r="A362" s="11">
        <v>11</v>
      </c>
      <c r="B362" s="2" t="s">
        <v>112</v>
      </c>
      <c r="C362" s="10" t="s">
        <v>127</v>
      </c>
      <c r="D362" s="11">
        <v>613242</v>
      </c>
      <c r="E362" s="11" t="s">
        <v>125</v>
      </c>
      <c r="F362" s="2" t="s">
        <v>173</v>
      </c>
      <c r="G362" s="2" t="s">
        <v>12</v>
      </c>
      <c r="H362" s="21">
        <v>5</v>
      </c>
      <c r="I362" s="3">
        <v>648</v>
      </c>
      <c r="J362" s="9">
        <f>H362*I362</f>
        <v>3240</v>
      </c>
      <c r="K362" s="2"/>
    </row>
    <row r="363" spans="1:11">
      <c r="A363" s="11"/>
      <c r="B363" s="2" t="s">
        <v>112</v>
      </c>
      <c r="C363" s="10" t="s">
        <v>127</v>
      </c>
      <c r="D363" s="11"/>
      <c r="E363" s="11"/>
      <c r="F363" s="2" t="s">
        <v>202</v>
      </c>
      <c r="G363" s="2" t="s">
        <v>12</v>
      </c>
      <c r="H363" s="21">
        <v>200</v>
      </c>
      <c r="I363" s="3">
        <v>1.33</v>
      </c>
      <c r="J363" s="9">
        <f t="shared" ref="J363:J392" si="13">H363*I363</f>
        <v>266</v>
      </c>
      <c r="K363" s="2"/>
    </row>
    <row r="364" spans="1:11">
      <c r="A364" s="11"/>
      <c r="B364" s="2" t="s">
        <v>112</v>
      </c>
      <c r="C364" s="10" t="s">
        <v>127</v>
      </c>
      <c r="D364" s="11"/>
      <c r="E364" s="11"/>
      <c r="F364" s="2" t="s">
        <v>234</v>
      </c>
      <c r="G364" s="2" t="s">
        <v>12</v>
      </c>
      <c r="H364" s="21">
        <v>400</v>
      </c>
      <c r="I364" s="3">
        <v>1.99</v>
      </c>
      <c r="J364" s="9">
        <f t="shared" si="13"/>
        <v>796</v>
      </c>
      <c r="K364" s="2"/>
    </row>
    <row r="365" spans="1:11">
      <c r="A365" s="11"/>
      <c r="B365" s="2" t="s">
        <v>112</v>
      </c>
      <c r="C365" s="10" t="s">
        <v>127</v>
      </c>
      <c r="D365" s="11"/>
      <c r="E365" s="11"/>
      <c r="F365" s="2" t="s">
        <v>142</v>
      </c>
      <c r="G365" s="2" t="s">
        <v>12</v>
      </c>
      <c r="H365" s="21">
        <v>200</v>
      </c>
      <c r="I365" s="3">
        <v>0.79</v>
      </c>
      <c r="J365" s="9">
        <f t="shared" si="13"/>
        <v>158</v>
      </c>
      <c r="K365" s="2"/>
    </row>
    <row r="366" spans="1:11">
      <c r="A366" s="11"/>
      <c r="B366" s="2" t="s">
        <v>112</v>
      </c>
      <c r="C366" s="10" t="s">
        <v>127</v>
      </c>
      <c r="D366" s="11"/>
      <c r="E366" s="11"/>
      <c r="F366" s="2" t="s">
        <v>193</v>
      </c>
      <c r="G366" s="2" t="s">
        <v>12</v>
      </c>
      <c r="H366" s="21">
        <v>200</v>
      </c>
      <c r="I366" s="3">
        <v>1.58</v>
      </c>
      <c r="J366" s="9">
        <f t="shared" si="13"/>
        <v>316</v>
      </c>
      <c r="K366" s="2"/>
    </row>
    <row r="367" spans="1:11">
      <c r="A367" s="11"/>
      <c r="B367" s="2" t="s">
        <v>112</v>
      </c>
      <c r="C367" s="10" t="s">
        <v>127</v>
      </c>
      <c r="D367" s="11"/>
      <c r="E367" s="11"/>
      <c r="F367" s="2" t="s">
        <v>176</v>
      </c>
      <c r="G367" s="2" t="s">
        <v>12</v>
      </c>
      <c r="H367" s="21">
        <v>20</v>
      </c>
      <c r="I367" s="3">
        <v>9.6</v>
      </c>
      <c r="J367" s="9">
        <f t="shared" si="13"/>
        <v>192</v>
      </c>
      <c r="K367" s="2"/>
    </row>
    <row r="368" spans="1:11">
      <c r="A368" s="11"/>
      <c r="B368" s="2" t="s">
        <v>112</v>
      </c>
      <c r="C368" s="10" t="s">
        <v>127</v>
      </c>
      <c r="D368" s="11"/>
      <c r="E368" s="11"/>
      <c r="F368" s="2" t="s">
        <v>251</v>
      </c>
      <c r="G368" s="2" t="s">
        <v>12</v>
      </c>
      <c r="H368" s="21">
        <v>2</v>
      </c>
      <c r="I368" s="3">
        <v>895</v>
      </c>
      <c r="J368" s="9">
        <f t="shared" si="13"/>
        <v>1790</v>
      </c>
      <c r="K368" s="2"/>
    </row>
    <row r="369" spans="1:11">
      <c r="A369" s="11"/>
      <c r="B369" s="2" t="s">
        <v>112</v>
      </c>
      <c r="C369" s="10" t="s">
        <v>127</v>
      </c>
      <c r="D369" s="11"/>
      <c r="E369" s="11"/>
      <c r="F369" s="2" t="s">
        <v>252</v>
      </c>
      <c r="G369" s="2" t="s">
        <v>12</v>
      </c>
      <c r="H369" s="21">
        <v>1</v>
      </c>
      <c r="I369" s="3">
        <v>1925</v>
      </c>
      <c r="J369" s="9">
        <f t="shared" si="13"/>
        <v>1925</v>
      </c>
      <c r="K369" s="2"/>
    </row>
    <row r="370" spans="1:11">
      <c r="A370" s="11"/>
      <c r="B370" s="2" t="s">
        <v>112</v>
      </c>
      <c r="C370" s="10" t="s">
        <v>127</v>
      </c>
      <c r="D370" s="11"/>
      <c r="E370" s="11"/>
      <c r="F370" s="2" t="s">
        <v>178</v>
      </c>
      <c r="G370" s="2" t="s">
        <v>12</v>
      </c>
      <c r="H370" s="21">
        <v>20</v>
      </c>
      <c r="I370" s="3">
        <v>175</v>
      </c>
      <c r="J370" s="9">
        <f t="shared" si="13"/>
        <v>3500</v>
      </c>
      <c r="K370" s="2"/>
    </row>
    <row r="371" spans="1:11">
      <c r="A371" s="11"/>
      <c r="B371" s="2" t="s">
        <v>112</v>
      </c>
      <c r="C371" s="10" t="s">
        <v>127</v>
      </c>
      <c r="D371" s="11"/>
      <c r="E371" s="11"/>
      <c r="F371" s="2" t="s">
        <v>73</v>
      </c>
      <c r="G371" s="2" t="s">
        <v>12</v>
      </c>
      <c r="H371" s="21">
        <v>7</v>
      </c>
      <c r="I371" s="3">
        <v>125</v>
      </c>
      <c r="J371" s="9">
        <f t="shared" si="13"/>
        <v>875</v>
      </c>
      <c r="K371" s="2"/>
    </row>
    <row r="372" spans="1:11">
      <c r="A372" s="11"/>
      <c r="B372" s="2" t="s">
        <v>112</v>
      </c>
      <c r="C372" s="10" t="s">
        <v>127</v>
      </c>
      <c r="D372" s="11"/>
      <c r="E372" s="11"/>
      <c r="F372" s="2" t="s">
        <v>180</v>
      </c>
      <c r="G372" s="2" t="s">
        <v>12</v>
      </c>
      <c r="H372" s="21">
        <v>1</v>
      </c>
      <c r="I372" s="3">
        <v>882</v>
      </c>
      <c r="J372" s="9">
        <f t="shared" si="13"/>
        <v>882</v>
      </c>
      <c r="K372" s="2"/>
    </row>
    <row r="373" spans="1:11">
      <c r="A373" s="11"/>
      <c r="B373" s="2" t="s">
        <v>112</v>
      </c>
      <c r="C373" s="10" t="s">
        <v>127</v>
      </c>
      <c r="D373" s="11"/>
      <c r="E373" s="11"/>
      <c r="F373" s="2" t="s">
        <v>69</v>
      </c>
      <c r="G373" s="2" t="s">
        <v>12</v>
      </c>
      <c r="H373" s="21">
        <v>5</v>
      </c>
      <c r="I373" s="3">
        <v>14.9</v>
      </c>
      <c r="J373" s="9">
        <f t="shared" si="13"/>
        <v>74.5</v>
      </c>
      <c r="K373" s="2"/>
    </row>
    <row r="374" spans="1:11">
      <c r="A374" s="11"/>
      <c r="B374" s="2" t="s">
        <v>112</v>
      </c>
      <c r="C374" s="10" t="s">
        <v>127</v>
      </c>
      <c r="D374" s="11"/>
      <c r="E374" s="11"/>
      <c r="F374" s="2" t="s">
        <v>181</v>
      </c>
      <c r="G374" s="2" t="s">
        <v>12</v>
      </c>
      <c r="H374" s="21">
        <v>5</v>
      </c>
      <c r="I374" s="3">
        <v>79</v>
      </c>
      <c r="J374" s="9">
        <f t="shared" si="13"/>
        <v>395</v>
      </c>
      <c r="K374" s="2"/>
    </row>
    <row r="375" spans="1:11">
      <c r="A375" s="11"/>
      <c r="B375" s="2" t="s">
        <v>112</v>
      </c>
      <c r="C375" s="10" t="s">
        <v>127</v>
      </c>
      <c r="D375" s="11"/>
      <c r="E375" s="11"/>
      <c r="F375" s="2" t="s">
        <v>253</v>
      </c>
      <c r="G375" s="2" t="s">
        <v>12</v>
      </c>
      <c r="H375" s="21">
        <v>52.5</v>
      </c>
      <c r="I375" s="3">
        <v>9.6</v>
      </c>
      <c r="J375" s="9">
        <f t="shared" si="13"/>
        <v>504</v>
      </c>
      <c r="K375" s="2"/>
    </row>
    <row r="376" spans="1:11">
      <c r="A376" s="11"/>
      <c r="B376" s="2" t="s">
        <v>112</v>
      </c>
      <c r="C376" s="10" t="s">
        <v>127</v>
      </c>
      <c r="D376" s="11"/>
      <c r="E376" s="11"/>
      <c r="F376" s="2" t="s">
        <v>45</v>
      </c>
      <c r="G376" s="2" t="s">
        <v>12</v>
      </c>
      <c r="H376" s="21">
        <v>1</v>
      </c>
      <c r="I376" s="3">
        <v>39.700000000000003</v>
      </c>
      <c r="J376" s="9">
        <f t="shared" si="13"/>
        <v>39.700000000000003</v>
      </c>
      <c r="K376" s="2"/>
    </row>
    <row r="377" spans="1:11">
      <c r="A377" s="11"/>
      <c r="B377" s="2" t="s">
        <v>112</v>
      </c>
      <c r="C377" s="10" t="s">
        <v>127</v>
      </c>
      <c r="D377" s="11"/>
      <c r="E377" s="11"/>
      <c r="F377" s="2" t="s">
        <v>102</v>
      </c>
      <c r="G377" s="2" t="s">
        <v>12</v>
      </c>
      <c r="H377" s="21">
        <v>3</v>
      </c>
      <c r="I377" s="3">
        <v>12.5</v>
      </c>
      <c r="J377" s="9">
        <f t="shared" si="13"/>
        <v>37.5</v>
      </c>
      <c r="K377" s="2"/>
    </row>
    <row r="378" spans="1:11">
      <c r="A378" s="11"/>
      <c r="B378" s="2" t="s">
        <v>112</v>
      </c>
      <c r="C378" s="10" t="s">
        <v>127</v>
      </c>
      <c r="D378" s="11"/>
      <c r="E378" s="11"/>
      <c r="F378" s="2" t="s">
        <v>22</v>
      </c>
      <c r="G378" s="2" t="s">
        <v>12</v>
      </c>
      <c r="H378" s="21">
        <v>30</v>
      </c>
      <c r="I378" s="3">
        <v>13.7</v>
      </c>
      <c r="J378" s="9">
        <f t="shared" si="13"/>
        <v>411</v>
      </c>
      <c r="K378" s="2"/>
    </row>
    <row r="379" spans="1:11">
      <c r="A379" s="11"/>
      <c r="B379" s="2" t="s">
        <v>112</v>
      </c>
      <c r="C379" s="10" t="s">
        <v>127</v>
      </c>
      <c r="D379" s="11"/>
      <c r="E379" s="11"/>
      <c r="F379" s="2" t="s">
        <v>106</v>
      </c>
      <c r="G379" s="2" t="s">
        <v>12</v>
      </c>
      <c r="H379" s="21">
        <v>30</v>
      </c>
      <c r="I379" s="3">
        <v>37.200000000000003</v>
      </c>
      <c r="J379" s="9">
        <f t="shared" si="13"/>
        <v>1116</v>
      </c>
      <c r="K379" s="2"/>
    </row>
    <row r="380" spans="1:11">
      <c r="A380" s="11"/>
      <c r="B380" s="2" t="s">
        <v>112</v>
      </c>
      <c r="C380" s="10" t="s">
        <v>127</v>
      </c>
      <c r="D380" s="11"/>
      <c r="E380" s="11"/>
      <c r="F380" s="2" t="s">
        <v>182</v>
      </c>
      <c r="G380" s="2" t="s">
        <v>12</v>
      </c>
      <c r="H380" s="21">
        <v>12</v>
      </c>
      <c r="I380" s="3">
        <v>55</v>
      </c>
      <c r="J380" s="9">
        <f t="shared" si="13"/>
        <v>660</v>
      </c>
      <c r="K380" s="2"/>
    </row>
    <row r="381" spans="1:11">
      <c r="A381" s="11"/>
      <c r="B381" s="2" t="s">
        <v>112</v>
      </c>
      <c r="C381" s="10" t="s">
        <v>127</v>
      </c>
      <c r="D381" s="11"/>
      <c r="E381" s="11"/>
      <c r="F381" s="2" t="s">
        <v>183</v>
      </c>
      <c r="G381" s="2" t="s">
        <v>12</v>
      </c>
      <c r="H381" s="21">
        <v>1</v>
      </c>
      <c r="I381" s="3">
        <v>470</v>
      </c>
      <c r="J381" s="9">
        <f t="shared" si="13"/>
        <v>470</v>
      </c>
      <c r="K381" s="2"/>
    </row>
    <row r="382" spans="1:11">
      <c r="A382" s="11"/>
      <c r="B382" s="2" t="s">
        <v>112</v>
      </c>
      <c r="C382" s="10" t="s">
        <v>127</v>
      </c>
      <c r="D382" s="11"/>
      <c r="E382" s="11"/>
      <c r="F382" s="2" t="s">
        <v>254</v>
      </c>
      <c r="G382" s="2" t="s">
        <v>12</v>
      </c>
      <c r="H382" s="21">
        <v>12</v>
      </c>
      <c r="I382" s="3">
        <v>96.5</v>
      </c>
      <c r="J382" s="9">
        <f t="shared" si="13"/>
        <v>1158</v>
      </c>
      <c r="K382" s="2"/>
    </row>
    <row r="383" spans="1:11">
      <c r="A383" s="11"/>
      <c r="B383" s="2" t="s">
        <v>112</v>
      </c>
      <c r="C383" s="10" t="s">
        <v>127</v>
      </c>
      <c r="D383" s="11"/>
      <c r="E383" s="11"/>
      <c r="F383" s="2" t="s">
        <v>235</v>
      </c>
      <c r="G383" s="2" t="s">
        <v>12</v>
      </c>
      <c r="H383" s="21">
        <v>12</v>
      </c>
      <c r="I383" s="3">
        <v>68</v>
      </c>
      <c r="J383" s="9">
        <f t="shared" si="13"/>
        <v>816</v>
      </c>
      <c r="K383" s="2"/>
    </row>
    <row r="384" spans="1:11">
      <c r="A384" s="11"/>
      <c r="B384" s="2" t="s">
        <v>112</v>
      </c>
      <c r="C384" s="10" t="s">
        <v>127</v>
      </c>
      <c r="D384" s="11"/>
      <c r="E384" s="11"/>
      <c r="F384" s="2" t="s">
        <v>185</v>
      </c>
      <c r="G384" s="2" t="s">
        <v>12</v>
      </c>
      <c r="H384" s="21">
        <v>20</v>
      </c>
      <c r="I384" s="3">
        <v>38.86</v>
      </c>
      <c r="J384" s="9">
        <f t="shared" si="13"/>
        <v>777.2</v>
      </c>
      <c r="K384" s="2"/>
    </row>
    <row r="385" spans="1:12">
      <c r="A385" s="11"/>
      <c r="B385" s="2" t="s">
        <v>112</v>
      </c>
      <c r="C385" s="10" t="s">
        <v>127</v>
      </c>
      <c r="D385" s="11"/>
      <c r="E385" s="11"/>
      <c r="F385" s="2" t="s">
        <v>186</v>
      </c>
      <c r="G385" s="2" t="s">
        <v>12</v>
      </c>
      <c r="H385" s="21">
        <v>1</v>
      </c>
      <c r="I385" s="3">
        <v>416.94</v>
      </c>
      <c r="J385" s="9">
        <f t="shared" si="13"/>
        <v>416.94</v>
      </c>
      <c r="K385" s="2"/>
    </row>
    <row r="386" spans="1:12">
      <c r="A386" s="11"/>
      <c r="B386" s="2" t="s">
        <v>112</v>
      </c>
      <c r="C386" s="10" t="s">
        <v>127</v>
      </c>
      <c r="D386" s="11"/>
      <c r="E386" s="11"/>
      <c r="F386" s="2" t="s">
        <v>187</v>
      </c>
      <c r="G386" s="2" t="s">
        <v>12</v>
      </c>
      <c r="H386" s="21">
        <v>3</v>
      </c>
      <c r="I386" s="3">
        <v>302.5</v>
      </c>
      <c r="J386" s="9">
        <f t="shared" si="13"/>
        <v>907.5</v>
      </c>
      <c r="K386" s="2"/>
    </row>
    <row r="387" spans="1:12">
      <c r="A387" s="11"/>
      <c r="B387" s="2" t="s">
        <v>112</v>
      </c>
      <c r="C387" s="10" t="s">
        <v>127</v>
      </c>
      <c r="D387" s="11"/>
      <c r="E387" s="11"/>
      <c r="F387" s="2" t="s">
        <v>255</v>
      </c>
      <c r="G387" s="2" t="s">
        <v>12</v>
      </c>
      <c r="H387" s="21">
        <v>10</v>
      </c>
      <c r="I387" s="3">
        <v>45.9</v>
      </c>
      <c r="J387" s="9">
        <f t="shared" si="13"/>
        <v>459</v>
      </c>
      <c r="K387" s="2"/>
    </row>
    <row r="388" spans="1:12">
      <c r="A388" s="11"/>
      <c r="B388" s="2" t="s">
        <v>112</v>
      </c>
      <c r="C388" s="10" t="s">
        <v>127</v>
      </c>
      <c r="D388" s="11"/>
      <c r="E388" s="11"/>
      <c r="F388" s="2" t="s">
        <v>110</v>
      </c>
      <c r="G388" s="2" t="s">
        <v>12</v>
      </c>
      <c r="H388" s="21">
        <v>10</v>
      </c>
      <c r="I388" s="3">
        <v>68</v>
      </c>
      <c r="J388" s="9">
        <f t="shared" si="13"/>
        <v>680</v>
      </c>
      <c r="K388" s="2"/>
    </row>
    <row r="389" spans="1:12">
      <c r="A389" s="11"/>
      <c r="B389" s="2" t="s">
        <v>112</v>
      </c>
      <c r="C389" s="10" t="s">
        <v>127</v>
      </c>
      <c r="D389" s="11"/>
      <c r="E389" s="11"/>
      <c r="F389" s="2" t="s">
        <v>189</v>
      </c>
      <c r="G389" s="2" t="s">
        <v>12</v>
      </c>
      <c r="H389" s="21">
        <v>5</v>
      </c>
      <c r="I389" s="3">
        <v>150</v>
      </c>
      <c r="J389" s="9">
        <f t="shared" si="13"/>
        <v>750</v>
      </c>
      <c r="K389" s="2"/>
    </row>
    <row r="390" spans="1:12">
      <c r="A390" s="11"/>
      <c r="B390" s="2" t="s">
        <v>112</v>
      </c>
      <c r="C390" s="10" t="s">
        <v>127</v>
      </c>
      <c r="D390" s="11"/>
      <c r="E390" s="11"/>
      <c r="F390" s="2" t="s">
        <v>128</v>
      </c>
      <c r="G390" s="2" t="s">
        <v>12</v>
      </c>
      <c r="H390" s="21">
        <v>5</v>
      </c>
      <c r="I390" s="3">
        <v>17.649999999999999</v>
      </c>
      <c r="J390" s="9">
        <f t="shared" si="13"/>
        <v>88.25</v>
      </c>
      <c r="K390" s="2"/>
    </row>
    <row r="391" spans="1:12">
      <c r="A391" s="11"/>
      <c r="B391" s="2" t="s">
        <v>112</v>
      </c>
      <c r="C391" s="10" t="s">
        <v>115</v>
      </c>
      <c r="D391" s="11"/>
      <c r="E391" s="11"/>
      <c r="F391" s="2" t="s">
        <v>171</v>
      </c>
      <c r="G391" s="2" t="s">
        <v>12</v>
      </c>
      <c r="H391" s="21">
        <v>1</v>
      </c>
      <c r="I391" s="3">
        <v>5046.66</v>
      </c>
      <c r="J391" s="9">
        <f t="shared" si="13"/>
        <v>5046.66</v>
      </c>
      <c r="K391" s="2"/>
    </row>
    <row r="392" spans="1:12">
      <c r="A392" s="11"/>
      <c r="B392" s="2" t="s">
        <v>112</v>
      </c>
      <c r="C392" s="10" t="s">
        <v>115</v>
      </c>
      <c r="D392" s="11"/>
      <c r="E392" s="11"/>
      <c r="F392" s="2" t="s">
        <v>212</v>
      </c>
      <c r="G392" s="2" t="s">
        <v>12</v>
      </c>
      <c r="H392" s="21">
        <v>4</v>
      </c>
      <c r="I392" s="3">
        <v>682.4</v>
      </c>
      <c r="J392" s="9">
        <f t="shared" si="13"/>
        <v>2729.6</v>
      </c>
      <c r="K392" s="2"/>
    </row>
    <row r="393" spans="1:12">
      <c r="A393" s="11"/>
      <c r="B393" s="2" t="s">
        <v>112</v>
      </c>
      <c r="C393" s="10" t="s">
        <v>115</v>
      </c>
      <c r="D393" s="11"/>
      <c r="E393" s="11"/>
      <c r="F393" s="2" t="s">
        <v>194</v>
      </c>
      <c r="G393" s="2" t="s">
        <v>12</v>
      </c>
      <c r="H393" s="21">
        <v>1</v>
      </c>
      <c r="I393" s="3">
        <v>1974.78</v>
      </c>
      <c r="J393" s="9">
        <f t="shared" ref="J393:J394" si="14">H393*I393</f>
        <v>1974.78</v>
      </c>
      <c r="K393" s="2"/>
    </row>
    <row r="394" spans="1:12">
      <c r="A394" s="11"/>
      <c r="B394" s="2" t="s">
        <v>112</v>
      </c>
      <c r="C394" s="10" t="s">
        <v>115</v>
      </c>
      <c r="D394" s="11"/>
      <c r="E394" s="11"/>
      <c r="F394" s="2" t="s">
        <v>101</v>
      </c>
      <c r="G394" s="2" t="s">
        <v>12</v>
      </c>
      <c r="H394" s="21">
        <v>30</v>
      </c>
      <c r="I394" s="3">
        <v>1073</v>
      </c>
      <c r="J394" s="9">
        <f t="shared" si="14"/>
        <v>32190</v>
      </c>
      <c r="K394" s="2"/>
    </row>
    <row r="395" spans="1:12">
      <c r="A395" s="11"/>
      <c r="B395" s="2" t="s">
        <v>112</v>
      </c>
      <c r="C395" s="10" t="s">
        <v>211</v>
      </c>
      <c r="D395" s="11"/>
      <c r="E395" s="11"/>
      <c r="F395" s="2" t="s">
        <v>324</v>
      </c>
      <c r="G395" s="2" t="s">
        <v>92</v>
      </c>
      <c r="H395" s="21">
        <v>60</v>
      </c>
      <c r="I395" s="3">
        <v>53.332999999999998</v>
      </c>
      <c r="J395" s="9">
        <v>3200</v>
      </c>
      <c r="K395" s="2"/>
    </row>
    <row r="396" spans="1:12">
      <c r="A396" s="12"/>
      <c r="B396" s="4"/>
      <c r="C396" s="17"/>
      <c r="D396" s="12"/>
      <c r="E396" s="12"/>
      <c r="F396" s="4" t="s">
        <v>14</v>
      </c>
      <c r="G396" s="4"/>
      <c r="H396" s="22"/>
      <c r="I396" s="5"/>
      <c r="J396" s="5">
        <f>SUM(J362:J395)</f>
        <v>68841.63</v>
      </c>
      <c r="K396" s="4"/>
    </row>
    <row r="397" spans="1:12">
      <c r="A397" s="19"/>
      <c r="B397" s="10" t="s">
        <v>335</v>
      </c>
      <c r="C397" s="10" t="s">
        <v>115</v>
      </c>
      <c r="D397" s="11"/>
      <c r="E397" s="11"/>
      <c r="F397" s="2" t="s">
        <v>171</v>
      </c>
      <c r="G397" s="2" t="s">
        <v>12</v>
      </c>
      <c r="H397" s="21">
        <v>1</v>
      </c>
      <c r="I397" s="3">
        <v>5046.66</v>
      </c>
      <c r="J397" s="3">
        <f>H397*I397</f>
        <v>5046.66</v>
      </c>
      <c r="K397" s="8"/>
    </row>
    <row r="398" spans="1:12">
      <c r="A398" s="12"/>
      <c r="B398" s="4"/>
      <c r="C398" s="17"/>
      <c r="D398" s="12"/>
      <c r="E398" s="12"/>
      <c r="F398" s="4" t="s">
        <v>14</v>
      </c>
      <c r="G398" s="4"/>
      <c r="H398" s="22"/>
      <c r="I398" s="5"/>
      <c r="J398" s="5">
        <f>SUM(J397)</f>
        <v>5046.66</v>
      </c>
      <c r="K398" s="4"/>
      <c r="L398" s="1"/>
    </row>
    <row r="399" spans="1:12">
      <c r="A399" s="177" t="s">
        <v>309</v>
      </c>
      <c r="B399" s="178"/>
      <c r="C399" s="14"/>
      <c r="D399" s="16"/>
      <c r="E399" s="16"/>
      <c r="F399" s="14"/>
      <c r="G399" s="14"/>
      <c r="H399" s="24"/>
      <c r="I399" s="15"/>
      <c r="J399" s="15">
        <f>J398+J396+J361+J359+J357+J324+J322+J317+J312+J278+J233+J221+J194+J192+J190+J188+J151+J88+J86+J84+J78+J42+J40</f>
        <v>1356391.69</v>
      </c>
      <c r="K399" s="14"/>
    </row>
    <row r="400" spans="1:12">
      <c r="A400" s="19"/>
      <c r="B400" s="19" t="s">
        <v>16</v>
      </c>
      <c r="C400" s="8" t="s">
        <v>333</v>
      </c>
      <c r="D400" s="19"/>
      <c r="E400" s="19">
        <v>1113</v>
      </c>
      <c r="F400" s="8" t="s">
        <v>336</v>
      </c>
      <c r="G400" s="8" t="s">
        <v>12</v>
      </c>
      <c r="H400" s="23">
        <v>1</v>
      </c>
      <c r="I400" s="9">
        <v>357</v>
      </c>
      <c r="J400" s="9">
        <v>357</v>
      </c>
      <c r="K400" s="14"/>
    </row>
    <row r="401" spans="1:11">
      <c r="A401" s="19"/>
      <c r="B401" s="19" t="s">
        <v>16</v>
      </c>
      <c r="C401" s="8" t="s">
        <v>333</v>
      </c>
      <c r="D401" s="19"/>
      <c r="E401" s="19">
        <v>1114</v>
      </c>
      <c r="F401" s="8" t="s">
        <v>337</v>
      </c>
      <c r="G401" s="8" t="s">
        <v>12</v>
      </c>
      <c r="H401" s="23">
        <f>1+2+1+2+2+2+2+1</f>
        <v>13</v>
      </c>
      <c r="I401" s="9"/>
      <c r="J401" s="9">
        <f>100+200+50+200+100+200+200+50</f>
        <v>1100</v>
      </c>
      <c r="K401" s="14"/>
    </row>
    <row r="402" spans="1:11">
      <c r="A402" s="12"/>
      <c r="B402" s="12"/>
      <c r="C402" s="4"/>
      <c r="D402" s="12"/>
      <c r="E402" s="12"/>
      <c r="F402" s="4" t="s">
        <v>14</v>
      </c>
      <c r="G402" s="4"/>
      <c r="H402" s="22"/>
      <c r="I402" s="5"/>
      <c r="J402" s="5">
        <f>SUM(J400:J401)</f>
        <v>1457</v>
      </c>
      <c r="K402" s="14"/>
    </row>
    <row r="403" spans="1:11">
      <c r="A403" s="177" t="s">
        <v>338</v>
      </c>
      <c r="B403" s="178"/>
      <c r="C403" s="14"/>
      <c r="D403" s="16"/>
      <c r="E403" s="16"/>
      <c r="F403" s="14"/>
      <c r="G403" s="14"/>
      <c r="H403" s="24"/>
      <c r="I403" s="15"/>
      <c r="J403" s="15">
        <f>J402</f>
        <v>1457</v>
      </c>
      <c r="K403" s="14"/>
    </row>
    <row r="404" spans="1:11">
      <c r="A404" s="34"/>
      <c r="B404" s="34"/>
      <c r="C404" s="6" t="s">
        <v>339</v>
      </c>
      <c r="D404" s="34"/>
      <c r="E404" s="34"/>
      <c r="F404" s="6"/>
      <c r="G404" s="6"/>
      <c r="H404" s="35"/>
      <c r="I404" s="7"/>
      <c r="J404" s="7">
        <f>J403+J399+J7</f>
        <v>1372988.67</v>
      </c>
      <c r="K404" s="14"/>
    </row>
    <row r="405" spans="1:11">
      <c r="A405" s="16"/>
      <c r="B405" s="16"/>
      <c r="C405" s="14"/>
      <c r="D405" s="16"/>
      <c r="E405" s="16"/>
      <c r="F405" s="14"/>
      <c r="G405" s="14"/>
      <c r="H405" s="24"/>
      <c r="I405" s="15"/>
      <c r="J405" s="15"/>
      <c r="K405" s="14"/>
    </row>
    <row r="406" spans="1:11">
      <c r="A406" s="16"/>
      <c r="B406" s="16"/>
      <c r="C406" s="14"/>
      <c r="D406" s="16"/>
      <c r="E406" s="16"/>
      <c r="F406" s="14"/>
      <c r="G406" s="14"/>
      <c r="H406" s="24"/>
      <c r="I406" s="15"/>
      <c r="J406" s="15"/>
      <c r="K406" s="14"/>
    </row>
    <row r="407" spans="1:11">
      <c r="J407" s="1">
        <v>1372988.67</v>
      </c>
    </row>
    <row r="408" spans="1:11">
      <c r="B408" t="s">
        <v>77</v>
      </c>
      <c r="J408" s="1">
        <f>J404-J407</f>
        <v>0</v>
      </c>
    </row>
  </sheetData>
  <mergeCells count="3">
    <mergeCell ref="A1:K1"/>
    <mergeCell ref="A399:B399"/>
    <mergeCell ref="A403:B403"/>
  </mergeCells>
  <pageMargins left="0.70866141732283472" right="0.16" top="0.96" bottom="0.2" header="0.31496062992125984" footer="0.31496062992125984"/>
  <pageSetup paperSize="9" scale="80" orientation="landscape" verticalDpi="0" r:id="rId1"/>
  <rowBreaks count="4" manualBreakCount="4">
    <brk id="40" max="14" man="1"/>
    <brk id="78" max="16383" man="1"/>
    <brk id="151" max="16383" man="1"/>
    <brk id="221" max="16383" man="1"/>
  </rowBreaks>
  <colBreaks count="1" manualBreakCount="1">
    <brk id="10" max="407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O286"/>
  <sheetViews>
    <sheetView view="pageBreakPreview" topLeftCell="A260" zoomScale="118" zoomScaleSheetLayoutView="118" workbookViewId="0">
      <selection activeCell="F267" sqref="F267:F268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12.28515625" style="62" customWidth="1"/>
    <col min="5" max="5" width="9.140625" style="62"/>
    <col min="6" max="6" width="34.85546875" style="38" customWidth="1"/>
    <col min="7" max="7" width="11.85546875" style="38" customWidth="1"/>
    <col min="8" max="8" width="9.140625" style="64" customWidth="1"/>
    <col min="9" max="9" width="14.7109375" style="44" customWidth="1"/>
    <col min="10" max="10" width="13.85546875" style="44" customWidth="1"/>
    <col min="11" max="11" width="12.42578125" style="38" customWidth="1"/>
    <col min="12" max="12" width="20.7109375" style="38" customWidth="1"/>
    <col min="13" max="16384" width="9.140625" style="38"/>
  </cols>
  <sheetData>
    <row r="1" spans="1:15" ht="18.75">
      <c r="A1" s="179" t="s">
        <v>342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5" ht="47.25">
      <c r="A2" s="88" t="s">
        <v>0</v>
      </c>
      <c r="B2" s="89" t="s">
        <v>1</v>
      </c>
      <c r="C2" s="89" t="s">
        <v>2</v>
      </c>
      <c r="D2" s="89" t="s">
        <v>66</v>
      </c>
      <c r="E2" s="89" t="s">
        <v>4</v>
      </c>
      <c r="F2" s="89" t="s">
        <v>5</v>
      </c>
      <c r="G2" s="89" t="s">
        <v>6</v>
      </c>
      <c r="H2" s="90" t="s">
        <v>7</v>
      </c>
      <c r="I2" s="91" t="s">
        <v>8</v>
      </c>
      <c r="J2" s="91" t="s">
        <v>9</v>
      </c>
      <c r="K2" s="89" t="s">
        <v>67</v>
      </c>
    </row>
    <row r="3" spans="1:15">
      <c r="A3" s="40">
        <v>1</v>
      </c>
      <c r="B3" s="39" t="s">
        <v>68</v>
      </c>
      <c r="C3" s="43" t="s">
        <v>32</v>
      </c>
      <c r="D3" s="40">
        <v>613242</v>
      </c>
      <c r="E3" s="40" t="s">
        <v>125</v>
      </c>
      <c r="F3" s="39" t="s">
        <v>350</v>
      </c>
      <c r="G3" s="39" t="s">
        <v>12</v>
      </c>
      <c r="H3" s="41">
        <v>102</v>
      </c>
      <c r="I3" s="42">
        <v>16</v>
      </c>
      <c r="J3" s="42">
        <f>H3*I3</f>
        <v>1632</v>
      </c>
      <c r="K3" s="42">
        <v>1632</v>
      </c>
    </row>
    <row r="4" spans="1:15">
      <c r="A4" s="40">
        <v>2</v>
      </c>
      <c r="B4" s="39" t="s">
        <v>68</v>
      </c>
      <c r="C4" s="43" t="s">
        <v>32</v>
      </c>
      <c r="D4" s="40">
        <v>613242</v>
      </c>
      <c r="E4" s="40" t="s">
        <v>125</v>
      </c>
      <c r="F4" s="39" t="s">
        <v>71</v>
      </c>
      <c r="G4" s="39" t="s">
        <v>27</v>
      </c>
      <c r="H4" s="41">
        <v>5</v>
      </c>
      <c r="I4" s="42">
        <v>33.5</v>
      </c>
      <c r="J4" s="42">
        <f t="shared" ref="J4:J40" si="0">H4*I4</f>
        <v>167.5</v>
      </c>
      <c r="K4" s="39">
        <v>167.5</v>
      </c>
    </row>
    <row r="5" spans="1:15">
      <c r="A5" s="40">
        <v>3</v>
      </c>
      <c r="B5" s="39" t="s">
        <v>68</v>
      </c>
      <c r="C5" s="43" t="s">
        <v>32</v>
      </c>
      <c r="D5" s="40">
        <v>613242</v>
      </c>
      <c r="E5" s="40" t="s">
        <v>125</v>
      </c>
      <c r="F5" s="39" t="s">
        <v>351</v>
      </c>
      <c r="G5" s="39" t="s">
        <v>12</v>
      </c>
      <c r="H5" s="41">
        <v>13</v>
      </c>
      <c r="I5" s="42">
        <v>19.45</v>
      </c>
      <c r="J5" s="42">
        <f t="shared" si="0"/>
        <v>252.85</v>
      </c>
      <c r="K5" s="39">
        <v>252.85</v>
      </c>
    </row>
    <row r="6" spans="1:15">
      <c r="A6" s="40">
        <v>4</v>
      </c>
      <c r="B6" s="39" t="s">
        <v>68</v>
      </c>
      <c r="C6" s="43" t="s">
        <v>361</v>
      </c>
      <c r="D6" s="40">
        <v>613242</v>
      </c>
      <c r="E6" s="40" t="s">
        <v>134</v>
      </c>
      <c r="F6" s="39" t="s">
        <v>352</v>
      </c>
      <c r="G6" s="39" t="s">
        <v>12</v>
      </c>
      <c r="H6" s="41">
        <v>5</v>
      </c>
      <c r="I6" s="42">
        <v>26.5</v>
      </c>
      <c r="J6" s="42">
        <f t="shared" si="0"/>
        <v>132.5</v>
      </c>
      <c r="K6" s="39">
        <v>132.5</v>
      </c>
    </row>
    <row r="7" spans="1:15">
      <c r="A7" s="40">
        <v>5</v>
      </c>
      <c r="B7" s="39" t="s">
        <v>68</v>
      </c>
      <c r="C7" s="43" t="s">
        <v>361</v>
      </c>
      <c r="D7" s="40">
        <v>613230</v>
      </c>
      <c r="E7" s="40" t="s">
        <v>11</v>
      </c>
      <c r="F7" s="39" t="s">
        <v>62</v>
      </c>
      <c r="G7" s="39" t="s">
        <v>12</v>
      </c>
      <c r="H7" s="41">
        <f>55+50+6+1</f>
        <v>112</v>
      </c>
      <c r="I7" s="42"/>
      <c r="J7" s="42">
        <f>5170+6900+1470+312</f>
        <v>13852</v>
      </c>
      <c r="K7" s="39">
        <v>13852</v>
      </c>
    </row>
    <row r="8" spans="1:15">
      <c r="A8" s="40">
        <v>6</v>
      </c>
      <c r="B8" s="39" t="s">
        <v>68</v>
      </c>
      <c r="C8" s="43" t="s">
        <v>361</v>
      </c>
      <c r="D8" s="40">
        <v>613242</v>
      </c>
      <c r="E8" s="40" t="s">
        <v>125</v>
      </c>
      <c r="F8" s="39" t="s">
        <v>70</v>
      </c>
      <c r="G8" s="39" t="s">
        <v>12</v>
      </c>
      <c r="H8" s="41">
        <f>6+2+10</f>
        <v>18</v>
      </c>
      <c r="I8" s="42"/>
      <c r="J8" s="42">
        <f>336+102+450</f>
        <v>888</v>
      </c>
      <c r="K8" s="39">
        <v>888</v>
      </c>
    </row>
    <row r="9" spans="1:15">
      <c r="A9" s="40">
        <v>7</v>
      </c>
      <c r="B9" s="39" t="s">
        <v>68</v>
      </c>
      <c r="C9" s="43" t="s">
        <v>361</v>
      </c>
      <c r="D9" s="40">
        <v>613242</v>
      </c>
      <c r="E9" s="40" t="s">
        <v>134</v>
      </c>
      <c r="F9" s="39" t="s">
        <v>234</v>
      </c>
      <c r="G9" s="39" t="s">
        <v>12</v>
      </c>
      <c r="H9" s="41">
        <v>100</v>
      </c>
      <c r="I9" s="42">
        <v>1.5</v>
      </c>
      <c r="J9" s="42">
        <f t="shared" si="0"/>
        <v>150</v>
      </c>
      <c r="K9" s="39">
        <v>150</v>
      </c>
    </row>
    <row r="10" spans="1:15">
      <c r="A10" s="40">
        <v>8</v>
      </c>
      <c r="B10" s="39" t="s">
        <v>68</v>
      </c>
      <c r="C10" s="43" t="s">
        <v>361</v>
      </c>
      <c r="D10" s="40">
        <v>613242</v>
      </c>
      <c r="E10" s="40" t="s">
        <v>125</v>
      </c>
      <c r="F10" s="39" t="s">
        <v>353</v>
      </c>
      <c r="G10" s="39" t="s">
        <v>12</v>
      </c>
      <c r="H10" s="41">
        <f>4+3+20+6</f>
        <v>33</v>
      </c>
      <c r="I10" s="42"/>
      <c r="J10" s="42">
        <f>276+243+288+336</f>
        <v>1143</v>
      </c>
      <c r="K10" s="39">
        <v>1143</v>
      </c>
    </row>
    <row r="11" spans="1:15">
      <c r="A11" s="40">
        <v>9</v>
      </c>
      <c r="B11" s="39" t="s">
        <v>68</v>
      </c>
      <c r="C11" s="43" t="s">
        <v>361</v>
      </c>
      <c r="D11" s="40">
        <v>613242</v>
      </c>
      <c r="E11" s="40" t="s">
        <v>125</v>
      </c>
      <c r="F11" s="39" t="s">
        <v>354</v>
      </c>
      <c r="G11" s="39" t="s">
        <v>12</v>
      </c>
      <c r="H11" s="41">
        <v>5</v>
      </c>
      <c r="I11" s="42">
        <v>71.099999999999994</v>
      </c>
      <c r="J11" s="42">
        <f t="shared" si="0"/>
        <v>355.5</v>
      </c>
      <c r="K11" s="39">
        <v>355.5</v>
      </c>
    </row>
    <row r="12" spans="1:15">
      <c r="A12" s="40">
        <v>10</v>
      </c>
      <c r="B12" s="39" t="s">
        <v>68</v>
      </c>
      <c r="C12" s="43" t="s">
        <v>361</v>
      </c>
      <c r="D12" s="40">
        <v>613242</v>
      </c>
      <c r="E12" s="40" t="s">
        <v>125</v>
      </c>
      <c r="F12" s="39" t="s">
        <v>355</v>
      </c>
      <c r="G12" s="39" t="s">
        <v>12</v>
      </c>
      <c r="H12" s="41">
        <v>4</v>
      </c>
      <c r="I12" s="42">
        <v>16</v>
      </c>
      <c r="J12" s="42">
        <f t="shared" si="0"/>
        <v>64</v>
      </c>
      <c r="K12" s="39">
        <v>64</v>
      </c>
    </row>
    <row r="13" spans="1:15">
      <c r="A13" s="40">
        <v>11</v>
      </c>
      <c r="B13" s="39" t="s">
        <v>68</v>
      </c>
      <c r="C13" s="43" t="s">
        <v>361</v>
      </c>
      <c r="D13" s="40">
        <v>613242</v>
      </c>
      <c r="E13" s="40" t="s">
        <v>125</v>
      </c>
      <c r="F13" s="39" t="s">
        <v>356</v>
      </c>
      <c r="G13" s="39" t="s">
        <v>12</v>
      </c>
      <c r="H13" s="41">
        <v>20</v>
      </c>
      <c r="I13" s="42">
        <v>25</v>
      </c>
      <c r="J13" s="42">
        <f t="shared" si="0"/>
        <v>500</v>
      </c>
      <c r="K13" s="39">
        <v>500</v>
      </c>
      <c r="L13" s="44"/>
    </row>
    <row r="14" spans="1:15">
      <c r="A14" s="40">
        <v>12</v>
      </c>
      <c r="B14" s="39" t="s">
        <v>68</v>
      </c>
      <c r="C14" s="43" t="s">
        <v>361</v>
      </c>
      <c r="D14" s="40">
        <v>613242</v>
      </c>
      <c r="E14" s="40" t="s">
        <v>134</v>
      </c>
      <c r="F14" s="39" t="s">
        <v>45</v>
      </c>
      <c r="G14" s="39" t="s">
        <v>12</v>
      </c>
      <c r="H14" s="41">
        <f>20+5</f>
        <v>25</v>
      </c>
      <c r="I14" s="42"/>
      <c r="J14" s="42">
        <f>500+75</f>
        <v>575</v>
      </c>
      <c r="K14" s="39">
        <v>575</v>
      </c>
    </row>
    <row r="15" spans="1:15">
      <c r="A15" s="40">
        <v>13</v>
      </c>
      <c r="B15" s="39" t="s">
        <v>68</v>
      </c>
      <c r="C15" s="43" t="s">
        <v>361</v>
      </c>
      <c r="D15" s="40">
        <v>613242</v>
      </c>
      <c r="E15" s="40" t="s">
        <v>134</v>
      </c>
      <c r="F15" s="39" t="s">
        <v>357</v>
      </c>
      <c r="G15" s="39" t="s">
        <v>12</v>
      </c>
      <c r="H15" s="41">
        <v>10</v>
      </c>
      <c r="I15" s="42">
        <v>100</v>
      </c>
      <c r="J15" s="42">
        <f t="shared" si="0"/>
        <v>1000</v>
      </c>
      <c r="K15" s="39">
        <v>1000</v>
      </c>
      <c r="O15" s="40"/>
    </row>
    <row r="16" spans="1:15">
      <c r="A16" s="40">
        <v>14</v>
      </c>
      <c r="B16" s="39" t="s">
        <v>68</v>
      </c>
      <c r="C16" s="43" t="s">
        <v>361</v>
      </c>
      <c r="D16" s="40">
        <v>613242</v>
      </c>
      <c r="E16" s="40" t="s">
        <v>134</v>
      </c>
      <c r="F16" s="39" t="s">
        <v>20</v>
      </c>
      <c r="G16" s="39" t="s">
        <v>12</v>
      </c>
      <c r="H16" s="41">
        <v>1</v>
      </c>
      <c r="I16" s="42">
        <v>24</v>
      </c>
      <c r="J16" s="42">
        <f t="shared" si="0"/>
        <v>24</v>
      </c>
      <c r="K16" s="39">
        <v>24</v>
      </c>
    </row>
    <row r="17" spans="1:11">
      <c r="A17" s="40">
        <v>15</v>
      </c>
      <c r="B17" s="39" t="s">
        <v>68</v>
      </c>
      <c r="C17" s="43" t="s">
        <v>361</v>
      </c>
      <c r="D17" s="40">
        <v>613242</v>
      </c>
      <c r="E17" s="40" t="s">
        <v>134</v>
      </c>
      <c r="F17" s="39" t="s">
        <v>63</v>
      </c>
      <c r="G17" s="39" t="s">
        <v>12</v>
      </c>
      <c r="H17" s="41">
        <v>19</v>
      </c>
      <c r="I17" s="42">
        <v>41</v>
      </c>
      <c r="J17" s="42">
        <f t="shared" si="0"/>
        <v>779</v>
      </c>
      <c r="K17" s="39">
        <v>779</v>
      </c>
    </row>
    <row r="18" spans="1:11">
      <c r="A18" s="40">
        <v>16</v>
      </c>
      <c r="B18" s="39" t="s">
        <v>68</v>
      </c>
      <c r="C18" s="43" t="s">
        <v>361</v>
      </c>
      <c r="D18" s="40">
        <v>613242</v>
      </c>
      <c r="E18" s="40" t="s">
        <v>134</v>
      </c>
      <c r="F18" s="39" t="s">
        <v>19</v>
      </c>
      <c r="G18" s="39" t="s">
        <v>12</v>
      </c>
      <c r="H18" s="41">
        <v>2</v>
      </c>
      <c r="I18" s="42">
        <v>74</v>
      </c>
      <c r="J18" s="42">
        <f t="shared" si="0"/>
        <v>148</v>
      </c>
      <c r="K18" s="39">
        <v>148</v>
      </c>
    </row>
    <row r="19" spans="1:11">
      <c r="A19" s="40">
        <v>17</v>
      </c>
      <c r="B19" s="39" t="s">
        <v>68</v>
      </c>
      <c r="C19" s="43" t="s">
        <v>361</v>
      </c>
      <c r="D19" s="40">
        <v>613242</v>
      </c>
      <c r="E19" s="40" t="s">
        <v>125</v>
      </c>
      <c r="F19" s="39" t="s">
        <v>358</v>
      </c>
      <c r="G19" s="39" t="s">
        <v>12</v>
      </c>
      <c r="H19" s="41">
        <v>20</v>
      </c>
      <c r="I19" s="42">
        <v>16</v>
      </c>
      <c r="J19" s="42">
        <f t="shared" si="0"/>
        <v>320</v>
      </c>
      <c r="K19" s="39">
        <v>320</v>
      </c>
    </row>
    <row r="20" spans="1:11">
      <c r="A20" s="40">
        <v>18</v>
      </c>
      <c r="B20" s="39" t="s">
        <v>68</v>
      </c>
      <c r="C20" s="43" t="s">
        <v>361</v>
      </c>
      <c r="D20" s="40">
        <v>613242</v>
      </c>
      <c r="E20" s="40" t="s">
        <v>125</v>
      </c>
      <c r="F20" s="39" t="s">
        <v>359</v>
      </c>
      <c r="G20" s="39" t="s">
        <v>12</v>
      </c>
      <c r="H20" s="41">
        <v>30</v>
      </c>
      <c r="I20" s="42">
        <v>8</v>
      </c>
      <c r="J20" s="42">
        <f t="shared" si="0"/>
        <v>240</v>
      </c>
      <c r="K20" s="39">
        <v>240</v>
      </c>
    </row>
    <row r="21" spans="1:11">
      <c r="A21" s="40">
        <v>19</v>
      </c>
      <c r="B21" s="39" t="s">
        <v>68</v>
      </c>
      <c r="C21" s="43" t="s">
        <v>361</v>
      </c>
      <c r="D21" s="40">
        <v>613242</v>
      </c>
      <c r="E21" s="40" t="s">
        <v>125</v>
      </c>
      <c r="F21" s="39" t="s">
        <v>360</v>
      </c>
      <c r="G21" s="39" t="s">
        <v>12</v>
      </c>
      <c r="H21" s="41">
        <v>15</v>
      </c>
      <c r="I21" s="42">
        <v>18.2</v>
      </c>
      <c r="J21" s="42">
        <f t="shared" si="0"/>
        <v>273</v>
      </c>
      <c r="K21" s="39">
        <v>273</v>
      </c>
    </row>
    <row r="22" spans="1:11">
      <c r="A22" s="40">
        <v>20</v>
      </c>
      <c r="B22" s="39" t="s">
        <v>68</v>
      </c>
      <c r="C22" s="43" t="s">
        <v>361</v>
      </c>
      <c r="D22" s="40">
        <v>613242</v>
      </c>
      <c r="E22" s="40" t="s">
        <v>134</v>
      </c>
      <c r="F22" s="39" t="s">
        <v>110</v>
      </c>
      <c r="G22" s="39" t="s">
        <v>12</v>
      </c>
      <c r="H22" s="41">
        <v>12</v>
      </c>
      <c r="I22" s="42">
        <v>61</v>
      </c>
      <c r="J22" s="42">
        <f t="shared" si="0"/>
        <v>732</v>
      </c>
      <c r="K22" s="39">
        <v>732</v>
      </c>
    </row>
    <row r="23" spans="1:11">
      <c r="A23" s="40">
        <v>21</v>
      </c>
      <c r="B23" s="39" t="s">
        <v>68</v>
      </c>
      <c r="C23" s="43" t="s">
        <v>361</v>
      </c>
      <c r="D23" s="40">
        <v>613242</v>
      </c>
      <c r="E23" s="40" t="s">
        <v>134</v>
      </c>
      <c r="F23" s="39" t="s">
        <v>142</v>
      </c>
      <c r="G23" s="39" t="s">
        <v>12</v>
      </c>
      <c r="H23" s="41">
        <v>100</v>
      </c>
      <c r="I23" s="42">
        <v>1.2</v>
      </c>
      <c r="J23" s="42">
        <f t="shared" si="0"/>
        <v>120</v>
      </c>
      <c r="K23" s="39">
        <v>120</v>
      </c>
    </row>
    <row r="24" spans="1:11">
      <c r="A24" s="40">
        <v>22</v>
      </c>
      <c r="B24" s="39" t="s">
        <v>68</v>
      </c>
      <c r="C24" s="43" t="s">
        <v>115</v>
      </c>
      <c r="D24" s="40">
        <v>611021</v>
      </c>
      <c r="E24" s="40">
        <v>1014</v>
      </c>
      <c r="F24" s="39" t="s">
        <v>362</v>
      </c>
      <c r="G24" s="39" t="s">
        <v>12</v>
      </c>
      <c r="H24" s="41">
        <v>1</v>
      </c>
      <c r="I24" s="42">
        <v>29763.56</v>
      </c>
      <c r="J24" s="42">
        <f t="shared" si="0"/>
        <v>29763.56</v>
      </c>
      <c r="K24" s="39">
        <v>29763.56</v>
      </c>
    </row>
    <row r="25" spans="1:11">
      <c r="A25" s="40">
        <v>23</v>
      </c>
      <c r="B25" s="39" t="s">
        <v>68</v>
      </c>
      <c r="C25" s="43" t="s">
        <v>115</v>
      </c>
      <c r="D25" s="40">
        <v>611021</v>
      </c>
      <c r="E25" s="40">
        <v>1113</v>
      </c>
      <c r="F25" s="39" t="s">
        <v>363</v>
      </c>
      <c r="G25" s="39" t="s">
        <v>12</v>
      </c>
      <c r="H25" s="41">
        <v>4</v>
      </c>
      <c r="I25" s="42">
        <v>1030</v>
      </c>
      <c r="J25" s="42">
        <f t="shared" si="0"/>
        <v>4120</v>
      </c>
      <c r="K25" s="39">
        <v>4120</v>
      </c>
    </row>
    <row r="26" spans="1:11">
      <c r="A26" s="40">
        <v>24</v>
      </c>
      <c r="B26" s="39" t="s">
        <v>68</v>
      </c>
      <c r="C26" s="43" t="s">
        <v>115</v>
      </c>
      <c r="D26" s="40">
        <v>611021</v>
      </c>
      <c r="E26" s="40">
        <v>1113</v>
      </c>
      <c r="F26" s="39" t="s">
        <v>364</v>
      </c>
      <c r="G26" s="39" t="s">
        <v>12</v>
      </c>
      <c r="H26" s="48">
        <v>2</v>
      </c>
      <c r="I26" s="49">
        <v>1443.88</v>
      </c>
      <c r="J26" s="49">
        <f t="shared" si="0"/>
        <v>2887.76</v>
      </c>
      <c r="K26" s="46">
        <v>2887.76</v>
      </c>
    </row>
    <row r="27" spans="1:11">
      <c r="A27" s="40">
        <v>25</v>
      </c>
      <c r="B27" s="39" t="s">
        <v>68</v>
      </c>
      <c r="C27" s="43" t="s">
        <v>115</v>
      </c>
      <c r="D27" s="40">
        <v>613230</v>
      </c>
      <c r="E27" s="40" t="s">
        <v>11</v>
      </c>
      <c r="F27" s="39" t="s">
        <v>365</v>
      </c>
      <c r="G27" s="39" t="s">
        <v>12</v>
      </c>
      <c r="H27" s="48">
        <v>3</v>
      </c>
      <c r="I27" s="42">
        <v>82.74</v>
      </c>
      <c r="J27" s="42">
        <f t="shared" si="0"/>
        <v>248.21999999999997</v>
      </c>
      <c r="K27" s="46">
        <v>248.22</v>
      </c>
    </row>
    <row r="28" spans="1:11">
      <c r="A28" s="40">
        <v>26</v>
      </c>
      <c r="B28" s="39" t="s">
        <v>68</v>
      </c>
      <c r="C28" s="43" t="s">
        <v>115</v>
      </c>
      <c r="D28" s="40">
        <v>613230</v>
      </c>
      <c r="E28" s="40" t="s">
        <v>11</v>
      </c>
      <c r="F28" s="39" t="s">
        <v>19</v>
      </c>
      <c r="G28" s="39" t="s">
        <v>12</v>
      </c>
      <c r="H28" s="48">
        <v>20</v>
      </c>
      <c r="I28" s="42">
        <v>122.22</v>
      </c>
      <c r="J28" s="42">
        <f t="shared" si="0"/>
        <v>2444.4</v>
      </c>
      <c r="K28" s="46">
        <v>2444.4</v>
      </c>
    </row>
    <row r="29" spans="1:11">
      <c r="A29" s="40">
        <v>27</v>
      </c>
      <c r="B29" s="39" t="s">
        <v>68</v>
      </c>
      <c r="C29" s="43" t="s">
        <v>115</v>
      </c>
      <c r="D29" s="40">
        <v>613230</v>
      </c>
      <c r="E29" s="40" t="s">
        <v>11</v>
      </c>
      <c r="F29" s="39" t="s">
        <v>366</v>
      </c>
      <c r="G29" s="39" t="s">
        <v>23</v>
      </c>
      <c r="H29" s="48">
        <v>30</v>
      </c>
      <c r="I29" s="42">
        <v>25.08</v>
      </c>
      <c r="J29" s="42">
        <f t="shared" si="0"/>
        <v>752.4</v>
      </c>
      <c r="K29" s="46">
        <v>752.4</v>
      </c>
    </row>
    <row r="30" spans="1:11">
      <c r="A30" s="40">
        <v>28</v>
      </c>
      <c r="B30" s="39" t="s">
        <v>68</v>
      </c>
      <c r="C30" s="43" t="s">
        <v>115</v>
      </c>
      <c r="D30" s="40">
        <v>613230</v>
      </c>
      <c r="E30" s="40" t="s">
        <v>11</v>
      </c>
      <c r="F30" s="39" t="s">
        <v>367</v>
      </c>
      <c r="G30" s="39" t="s">
        <v>12</v>
      </c>
      <c r="H30" s="48">
        <v>10</v>
      </c>
      <c r="I30" s="42">
        <v>392.94</v>
      </c>
      <c r="J30" s="42">
        <f t="shared" si="0"/>
        <v>3929.4</v>
      </c>
      <c r="K30" s="46">
        <v>3929.4</v>
      </c>
    </row>
    <row r="31" spans="1:11">
      <c r="A31" s="40">
        <v>29</v>
      </c>
      <c r="B31" s="39" t="s">
        <v>68</v>
      </c>
      <c r="C31" s="43" t="s">
        <v>115</v>
      </c>
      <c r="D31" s="40">
        <v>611021</v>
      </c>
      <c r="E31" s="40">
        <v>1113</v>
      </c>
      <c r="F31" s="39" t="s">
        <v>368</v>
      </c>
      <c r="G31" s="39" t="s">
        <v>12</v>
      </c>
      <c r="H31" s="41">
        <v>2</v>
      </c>
      <c r="I31" s="42">
        <v>1850</v>
      </c>
      <c r="J31" s="42">
        <f t="shared" si="0"/>
        <v>3700</v>
      </c>
      <c r="K31" s="39">
        <v>3700</v>
      </c>
    </row>
    <row r="32" spans="1:11">
      <c r="A32" s="40">
        <v>30</v>
      </c>
      <c r="B32" s="39" t="s">
        <v>68</v>
      </c>
      <c r="C32" s="43" t="s">
        <v>115</v>
      </c>
      <c r="D32" s="40">
        <v>611021</v>
      </c>
      <c r="E32" s="40">
        <v>1113</v>
      </c>
      <c r="F32" s="39" t="s">
        <v>58</v>
      </c>
      <c r="G32" s="39" t="s">
        <v>12</v>
      </c>
      <c r="H32" s="41">
        <v>1</v>
      </c>
      <c r="I32" s="42">
        <v>2499.21</v>
      </c>
      <c r="J32" s="42">
        <f t="shared" si="0"/>
        <v>2499.21</v>
      </c>
      <c r="K32" s="39">
        <v>2499.21</v>
      </c>
    </row>
    <row r="33" spans="1:11">
      <c r="A33" s="40">
        <v>31</v>
      </c>
      <c r="B33" s="39" t="s">
        <v>68</v>
      </c>
      <c r="C33" s="43" t="s">
        <v>115</v>
      </c>
      <c r="D33" s="40">
        <v>611021</v>
      </c>
      <c r="E33" s="40">
        <v>1113</v>
      </c>
      <c r="F33" s="39" t="s">
        <v>369</v>
      </c>
      <c r="G33" s="39" t="s">
        <v>12</v>
      </c>
      <c r="H33" s="41">
        <v>3</v>
      </c>
      <c r="I33" s="42">
        <v>2860</v>
      </c>
      <c r="J33" s="42">
        <f t="shared" si="0"/>
        <v>8580</v>
      </c>
      <c r="K33" s="39">
        <v>8580</v>
      </c>
    </row>
    <row r="34" spans="1:11">
      <c r="A34" s="40">
        <v>32</v>
      </c>
      <c r="B34" s="39" t="s">
        <v>68</v>
      </c>
      <c r="C34" s="43" t="s">
        <v>115</v>
      </c>
      <c r="D34" s="40">
        <v>611021</v>
      </c>
      <c r="E34" s="40">
        <v>1113</v>
      </c>
      <c r="F34" s="39" t="s">
        <v>370</v>
      </c>
      <c r="G34" s="39" t="s">
        <v>12</v>
      </c>
      <c r="H34" s="41">
        <v>1</v>
      </c>
      <c r="I34" s="42">
        <v>348.35</v>
      </c>
      <c r="J34" s="42">
        <f t="shared" si="0"/>
        <v>348.35</v>
      </c>
      <c r="K34" s="39">
        <v>348.35</v>
      </c>
    </row>
    <row r="35" spans="1:11">
      <c r="A35" s="40">
        <v>33</v>
      </c>
      <c r="B35" s="39" t="s">
        <v>68</v>
      </c>
      <c r="C35" s="43" t="s">
        <v>115</v>
      </c>
      <c r="D35" s="40">
        <v>611021</v>
      </c>
      <c r="E35" s="40">
        <v>1113</v>
      </c>
      <c r="F35" s="39" t="s">
        <v>91</v>
      </c>
      <c r="G35" s="39" t="s">
        <v>12</v>
      </c>
      <c r="H35" s="41">
        <v>2</v>
      </c>
      <c r="I35" s="42">
        <v>1083.3499999999999</v>
      </c>
      <c r="J35" s="42">
        <f t="shared" si="0"/>
        <v>2166.6999999999998</v>
      </c>
      <c r="K35" s="39">
        <v>2166.6999999999998</v>
      </c>
    </row>
    <row r="36" spans="1:11">
      <c r="A36" s="40">
        <v>34</v>
      </c>
      <c r="B36" s="39" t="s">
        <v>68</v>
      </c>
      <c r="C36" s="43" t="s">
        <v>115</v>
      </c>
      <c r="D36" s="40">
        <v>611021</v>
      </c>
      <c r="E36" s="40">
        <v>1113</v>
      </c>
      <c r="F36" s="39" t="s">
        <v>133</v>
      </c>
      <c r="G36" s="39" t="s">
        <v>12</v>
      </c>
      <c r="H36" s="41">
        <v>2</v>
      </c>
      <c r="I36" s="42">
        <v>333.35</v>
      </c>
      <c r="J36" s="42">
        <f t="shared" si="0"/>
        <v>666.7</v>
      </c>
      <c r="K36" s="39">
        <v>666.7</v>
      </c>
    </row>
    <row r="37" spans="1:11">
      <c r="A37" s="40">
        <v>35</v>
      </c>
      <c r="B37" s="39" t="s">
        <v>68</v>
      </c>
      <c r="C37" s="43" t="s">
        <v>115</v>
      </c>
      <c r="D37" s="40">
        <v>611021</v>
      </c>
      <c r="E37" s="40">
        <v>1113</v>
      </c>
      <c r="F37" s="39" t="s">
        <v>59</v>
      </c>
      <c r="G37" s="39" t="s">
        <v>12</v>
      </c>
      <c r="H37" s="41">
        <v>2</v>
      </c>
      <c r="I37" s="42">
        <v>1221.6500000000001</v>
      </c>
      <c r="J37" s="42">
        <f t="shared" si="0"/>
        <v>2443.3000000000002</v>
      </c>
      <c r="K37" s="39">
        <v>2443.3000000000002</v>
      </c>
    </row>
    <row r="38" spans="1:11">
      <c r="A38" s="40">
        <v>36</v>
      </c>
      <c r="B38" s="39" t="s">
        <v>68</v>
      </c>
      <c r="C38" s="43" t="s">
        <v>115</v>
      </c>
      <c r="D38" s="40">
        <v>611021</v>
      </c>
      <c r="E38" s="40">
        <v>1114</v>
      </c>
      <c r="F38" s="39" t="s">
        <v>179</v>
      </c>
      <c r="G38" s="39" t="s">
        <v>12</v>
      </c>
      <c r="H38" s="41">
        <v>5</v>
      </c>
      <c r="I38" s="42">
        <v>123</v>
      </c>
      <c r="J38" s="42">
        <f t="shared" si="0"/>
        <v>615</v>
      </c>
      <c r="K38" s="39">
        <v>615</v>
      </c>
    </row>
    <row r="39" spans="1:11">
      <c r="A39" s="40">
        <v>37</v>
      </c>
      <c r="B39" s="39" t="s">
        <v>68</v>
      </c>
      <c r="C39" s="43" t="s">
        <v>115</v>
      </c>
      <c r="D39" s="40">
        <v>611021</v>
      </c>
      <c r="E39" s="40">
        <v>1114</v>
      </c>
      <c r="F39" s="39" t="s">
        <v>200</v>
      </c>
      <c r="G39" s="39" t="s">
        <v>12</v>
      </c>
      <c r="H39" s="41">
        <v>5</v>
      </c>
      <c r="I39" s="42">
        <v>420</v>
      </c>
      <c r="J39" s="42">
        <f t="shared" si="0"/>
        <v>2100</v>
      </c>
      <c r="K39" s="39">
        <v>2100</v>
      </c>
    </row>
    <row r="40" spans="1:11">
      <c r="A40" s="40">
        <v>38</v>
      </c>
      <c r="B40" s="39" t="s">
        <v>68</v>
      </c>
      <c r="C40" s="43" t="s">
        <v>115</v>
      </c>
      <c r="D40" s="40">
        <v>611021</v>
      </c>
      <c r="E40" s="40">
        <v>1114</v>
      </c>
      <c r="F40" s="39" t="s">
        <v>25</v>
      </c>
      <c r="G40" s="39" t="s">
        <v>12</v>
      </c>
      <c r="H40" s="41">
        <v>5</v>
      </c>
      <c r="I40" s="42">
        <v>195</v>
      </c>
      <c r="J40" s="42">
        <f t="shared" si="0"/>
        <v>975</v>
      </c>
      <c r="K40" s="39">
        <v>975</v>
      </c>
    </row>
    <row r="41" spans="1:11">
      <c r="A41" s="40">
        <v>39</v>
      </c>
      <c r="B41" s="39" t="s">
        <v>68</v>
      </c>
      <c r="C41" s="43" t="s">
        <v>115</v>
      </c>
      <c r="D41" s="40">
        <v>613242</v>
      </c>
      <c r="E41" s="40" t="s">
        <v>134</v>
      </c>
      <c r="F41" s="39" t="s">
        <v>371</v>
      </c>
      <c r="G41" s="39" t="s">
        <v>12</v>
      </c>
      <c r="H41" s="41">
        <v>28</v>
      </c>
      <c r="I41" s="42">
        <v>37.5</v>
      </c>
      <c r="J41" s="42">
        <v>1050</v>
      </c>
      <c r="K41" s="39">
        <v>1050</v>
      </c>
    </row>
    <row r="42" spans="1:11">
      <c r="A42" s="40">
        <v>40</v>
      </c>
      <c r="B42" s="39" t="s">
        <v>68</v>
      </c>
      <c r="C42" s="43" t="s">
        <v>115</v>
      </c>
      <c r="D42" s="40">
        <v>613242</v>
      </c>
      <c r="E42" s="40" t="s">
        <v>134</v>
      </c>
      <c r="F42" s="39" t="s">
        <v>372</v>
      </c>
      <c r="G42" s="39" t="s">
        <v>12</v>
      </c>
      <c r="H42" s="41">
        <v>8</v>
      </c>
      <c r="I42" s="42">
        <v>75</v>
      </c>
      <c r="J42" s="42">
        <v>600</v>
      </c>
      <c r="K42" s="39">
        <v>600</v>
      </c>
    </row>
    <row r="43" spans="1:11">
      <c r="A43" s="45"/>
      <c r="B43" s="46"/>
      <c r="C43" s="47"/>
      <c r="D43" s="45"/>
      <c r="E43" s="45"/>
      <c r="F43" s="46" t="s">
        <v>14</v>
      </c>
      <c r="G43" s="46"/>
      <c r="H43" s="48"/>
      <c r="I43" s="49"/>
      <c r="J43" s="49">
        <f>SUM(J3:J42)</f>
        <v>93238.35000000002</v>
      </c>
      <c r="K43" s="49">
        <f>SUM(K3:K42)</f>
        <v>93238.35000000002</v>
      </c>
    </row>
    <row r="44" spans="1:11" hidden="1">
      <c r="A44" s="50"/>
      <c r="B44" s="51" t="s">
        <v>78</v>
      </c>
      <c r="C44" s="43"/>
      <c r="D44" s="40"/>
      <c r="E44" s="40"/>
      <c r="F44" s="39"/>
      <c r="G44" s="39" t="s">
        <v>12</v>
      </c>
      <c r="H44" s="41"/>
      <c r="I44" s="42"/>
      <c r="J44" s="42">
        <f>H44*I44</f>
        <v>0</v>
      </c>
      <c r="K44" s="51"/>
    </row>
    <row r="45" spans="1:11" hidden="1">
      <c r="A45" s="45"/>
      <c r="B45" s="46"/>
      <c r="C45" s="47"/>
      <c r="D45" s="45"/>
      <c r="E45" s="45"/>
      <c r="F45" s="46" t="s">
        <v>14</v>
      </c>
      <c r="G45" s="46"/>
      <c r="H45" s="48"/>
      <c r="I45" s="49"/>
      <c r="J45" s="49">
        <f>SUM(J44)</f>
        <v>0</v>
      </c>
      <c r="K45" s="46"/>
    </row>
    <row r="46" spans="1:11">
      <c r="A46" s="40">
        <v>1</v>
      </c>
      <c r="B46" s="39" t="s">
        <v>31</v>
      </c>
      <c r="C46" s="43" t="s">
        <v>127</v>
      </c>
      <c r="D46" s="40">
        <v>613242</v>
      </c>
      <c r="E46" s="40" t="s">
        <v>125</v>
      </c>
      <c r="F46" s="39" t="s">
        <v>71</v>
      </c>
      <c r="G46" s="39" t="s">
        <v>27</v>
      </c>
      <c r="H46" s="41">
        <v>4</v>
      </c>
      <c r="I46" s="42">
        <v>39</v>
      </c>
      <c r="J46" s="42">
        <f>H46*I46</f>
        <v>156</v>
      </c>
      <c r="K46" s="42">
        <v>156</v>
      </c>
    </row>
    <row r="47" spans="1:11">
      <c r="A47" s="40">
        <v>2</v>
      </c>
      <c r="B47" s="39" t="s">
        <v>31</v>
      </c>
      <c r="C47" s="43" t="s">
        <v>127</v>
      </c>
      <c r="D47" s="40">
        <v>613242</v>
      </c>
      <c r="E47" s="40" t="s">
        <v>125</v>
      </c>
      <c r="F47" s="39" t="s">
        <v>373</v>
      </c>
      <c r="G47" s="39" t="s">
        <v>12</v>
      </c>
      <c r="H47" s="41">
        <v>102</v>
      </c>
      <c r="I47" s="42">
        <v>10.97</v>
      </c>
      <c r="J47" s="42">
        <f t="shared" ref="J47:J54" si="1">H47*I47</f>
        <v>1118.94</v>
      </c>
      <c r="K47" s="42">
        <v>1118.94</v>
      </c>
    </row>
    <row r="48" spans="1:11">
      <c r="A48" s="40">
        <v>3</v>
      </c>
      <c r="B48" s="39" t="s">
        <v>31</v>
      </c>
      <c r="C48" s="43" t="s">
        <v>127</v>
      </c>
      <c r="D48" s="40">
        <v>613242</v>
      </c>
      <c r="E48" s="40" t="s">
        <v>134</v>
      </c>
      <c r="F48" s="39" t="s">
        <v>322</v>
      </c>
      <c r="G48" s="39" t="s">
        <v>12</v>
      </c>
      <c r="H48" s="41">
        <v>6</v>
      </c>
      <c r="I48" s="42">
        <v>28</v>
      </c>
      <c r="J48" s="42">
        <f t="shared" si="1"/>
        <v>168</v>
      </c>
      <c r="K48" s="42">
        <v>168</v>
      </c>
    </row>
    <row r="49" spans="1:11">
      <c r="A49" s="40">
        <v>4</v>
      </c>
      <c r="B49" s="39" t="s">
        <v>31</v>
      </c>
      <c r="C49" s="43" t="s">
        <v>127</v>
      </c>
      <c r="D49" s="50">
        <v>613242</v>
      </c>
      <c r="E49" s="50" t="s">
        <v>134</v>
      </c>
      <c r="F49" s="51" t="s">
        <v>133</v>
      </c>
      <c r="G49" s="51" t="s">
        <v>12</v>
      </c>
      <c r="H49" s="53">
        <v>3</v>
      </c>
      <c r="I49" s="52">
        <v>140</v>
      </c>
      <c r="J49" s="52">
        <f t="shared" si="1"/>
        <v>420</v>
      </c>
      <c r="K49" s="52">
        <v>420</v>
      </c>
    </row>
    <row r="50" spans="1:11">
      <c r="A50" s="40">
        <v>5</v>
      </c>
      <c r="B50" s="39" t="s">
        <v>31</v>
      </c>
      <c r="C50" s="43" t="s">
        <v>127</v>
      </c>
      <c r="D50" s="40">
        <v>613242</v>
      </c>
      <c r="E50" s="40" t="s">
        <v>134</v>
      </c>
      <c r="F50" s="39" t="s">
        <v>110</v>
      </c>
      <c r="G50" s="39" t="s">
        <v>21</v>
      </c>
      <c r="H50" s="41">
        <v>6</v>
      </c>
      <c r="I50" s="42">
        <v>44.4</v>
      </c>
      <c r="J50" s="42">
        <f t="shared" si="1"/>
        <v>266.39999999999998</v>
      </c>
      <c r="K50" s="42">
        <v>266.39999999999998</v>
      </c>
    </row>
    <row r="51" spans="1:11">
      <c r="A51" s="40">
        <v>6</v>
      </c>
      <c r="B51" s="39" t="s">
        <v>31</v>
      </c>
      <c r="C51" s="43" t="s">
        <v>127</v>
      </c>
      <c r="D51" s="40">
        <v>613242</v>
      </c>
      <c r="E51" s="40" t="s">
        <v>134</v>
      </c>
      <c r="F51" s="39" t="s">
        <v>374</v>
      </c>
      <c r="G51" s="39" t="s">
        <v>12</v>
      </c>
      <c r="H51" s="41">
        <v>5</v>
      </c>
      <c r="I51" s="42">
        <v>124</v>
      </c>
      <c r="J51" s="42">
        <f t="shared" si="1"/>
        <v>620</v>
      </c>
      <c r="K51" s="42">
        <v>620</v>
      </c>
    </row>
    <row r="52" spans="1:11">
      <c r="A52" s="40">
        <v>7</v>
      </c>
      <c r="B52" s="39" t="s">
        <v>31</v>
      </c>
      <c r="C52" s="43" t="s">
        <v>361</v>
      </c>
      <c r="D52" s="40">
        <v>611021</v>
      </c>
      <c r="E52" s="40" t="s">
        <v>125</v>
      </c>
      <c r="F52" s="39" t="s">
        <v>70</v>
      </c>
      <c r="G52" s="39" t="s">
        <v>12</v>
      </c>
      <c r="H52" s="41">
        <f>6+2</f>
        <v>8</v>
      </c>
      <c r="I52" s="42"/>
      <c r="J52" s="42">
        <f>336+150</f>
        <v>486</v>
      </c>
      <c r="K52" s="42">
        <v>486</v>
      </c>
    </row>
    <row r="53" spans="1:11">
      <c r="A53" s="40">
        <v>8</v>
      </c>
      <c r="B53" s="39" t="s">
        <v>31</v>
      </c>
      <c r="C53" s="43" t="s">
        <v>361</v>
      </c>
      <c r="D53" s="40">
        <v>611021</v>
      </c>
      <c r="E53" s="40" t="s">
        <v>134</v>
      </c>
      <c r="F53" s="39" t="s">
        <v>142</v>
      </c>
      <c r="G53" s="39" t="s">
        <v>12</v>
      </c>
      <c r="H53" s="41">
        <v>100</v>
      </c>
      <c r="I53" s="42">
        <v>0.5</v>
      </c>
      <c r="J53" s="42">
        <f t="shared" si="1"/>
        <v>50</v>
      </c>
      <c r="K53" s="42">
        <v>50</v>
      </c>
    </row>
    <row r="54" spans="1:11">
      <c r="A54" s="40">
        <v>9</v>
      </c>
      <c r="B54" s="39" t="s">
        <v>31</v>
      </c>
      <c r="C54" s="43" t="s">
        <v>361</v>
      </c>
      <c r="D54" s="40">
        <v>611021</v>
      </c>
      <c r="E54" s="40" t="s">
        <v>134</v>
      </c>
      <c r="F54" s="39" t="s">
        <v>234</v>
      </c>
      <c r="G54" s="39" t="s">
        <v>12</v>
      </c>
      <c r="H54" s="41">
        <v>100</v>
      </c>
      <c r="I54" s="42">
        <v>1.55</v>
      </c>
      <c r="J54" s="42">
        <f t="shared" si="1"/>
        <v>155</v>
      </c>
      <c r="K54" s="42">
        <v>155</v>
      </c>
    </row>
    <row r="55" spans="1:11">
      <c r="A55" s="40">
        <v>10</v>
      </c>
      <c r="B55" s="39" t="s">
        <v>31</v>
      </c>
      <c r="C55" s="43" t="s">
        <v>361</v>
      </c>
      <c r="D55" s="40">
        <v>611021</v>
      </c>
      <c r="E55" s="40" t="s">
        <v>125</v>
      </c>
      <c r="F55" s="39" t="s">
        <v>353</v>
      </c>
      <c r="G55" s="39" t="s">
        <v>12</v>
      </c>
      <c r="H55" s="41">
        <f>4+3</f>
        <v>7</v>
      </c>
      <c r="I55" s="42"/>
      <c r="J55" s="42">
        <f>573.48+389.7</f>
        <v>963.18000000000006</v>
      </c>
      <c r="K55" s="42">
        <v>963.18</v>
      </c>
    </row>
    <row r="56" spans="1:11">
      <c r="A56" s="45"/>
      <c r="B56" s="46"/>
      <c r="C56" s="47"/>
      <c r="D56" s="45"/>
      <c r="E56" s="45"/>
      <c r="F56" s="46" t="s">
        <v>14</v>
      </c>
      <c r="G56" s="46"/>
      <c r="H56" s="48"/>
      <c r="I56" s="49"/>
      <c r="J56" s="49">
        <f>SUM(J46:J55)</f>
        <v>4403.5200000000004</v>
      </c>
      <c r="K56" s="49">
        <f>SUM(K46:K55)</f>
        <v>4403.5200000000004</v>
      </c>
    </row>
    <row r="57" spans="1:11" hidden="1">
      <c r="A57" s="40">
        <v>3</v>
      </c>
      <c r="B57" s="39" t="s">
        <v>104</v>
      </c>
      <c r="C57" s="43"/>
      <c r="D57" s="40">
        <v>611021</v>
      </c>
      <c r="E57" s="40">
        <v>1113</v>
      </c>
      <c r="F57" s="39"/>
      <c r="G57" s="39" t="s">
        <v>12</v>
      </c>
      <c r="H57" s="41"/>
      <c r="I57" s="42"/>
      <c r="J57" s="42">
        <f>H57*I57</f>
        <v>0</v>
      </c>
      <c r="K57" s="42"/>
    </row>
    <row r="58" spans="1:11" hidden="1">
      <c r="A58" s="40"/>
      <c r="B58" s="39" t="s">
        <v>104</v>
      </c>
      <c r="C58" s="43"/>
      <c r="D58" s="40">
        <v>611021</v>
      </c>
      <c r="E58" s="40">
        <v>1113</v>
      </c>
      <c r="F58" s="39"/>
      <c r="G58" s="39" t="s">
        <v>12</v>
      </c>
      <c r="H58" s="41"/>
      <c r="I58" s="42"/>
      <c r="J58" s="42">
        <f t="shared" ref="J58:J59" si="2">H58*I58</f>
        <v>0</v>
      </c>
      <c r="K58" s="42"/>
    </row>
    <row r="59" spans="1:11" hidden="1">
      <c r="A59" s="40"/>
      <c r="B59" s="39" t="s">
        <v>104</v>
      </c>
      <c r="C59" s="43"/>
      <c r="D59" s="40">
        <v>611021</v>
      </c>
      <c r="E59" s="40">
        <v>1113</v>
      </c>
      <c r="F59" s="39"/>
      <c r="G59" s="39" t="s">
        <v>12</v>
      </c>
      <c r="H59" s="41"/>
      <c r="I59" s="42"/>
      <c r="J59" s="42">
        <f t="shared" si="2"/>
        <v>0</v>
      </c>
      <c r="K59" s="42"/>
    </row>
    <row r="60" spans="1:11" hidden="1">
      <c r="A60" s="40"/>
      <c r="B60" s="39" t="s">
        <v>104</v>
      </c>
      <c r="C60" s="43"/>
      <c r="D60" s="40">
        <v>613242</v>
      </c>
      <c r="E60" s="40" t="s">
        <v>125</v>
      </c>
      <c r="F60" s="39"/>
      <c r="G60" s="39" t="s">
        <v>12</v>
      </c>
      <c r="H60" s="41"/>
      <c r="I60" s="42"/>
      <c r="J60" s="42">
        <f>H60*I60</f>
        <v>0</v>
      </c>
      <c r="K60" s="42"/>
    </row>
    <row r="61" spans="1:11" hidden="1">
      <c r="A61" s="40"/>
      <c r="B61" s="39" t="s">
        <v>104</v>
      </c>
      <c r="C61" s="43"/>
      <c r="D61" s="40"/>
      <c r="E61" s="40"/>
      <c r="F61" s="39"/>
      <c r="G61" s="39" t="s">
        <v>12</v>
      </c>
      <c r="H61" s="41"/>
      <c r="I61" s="42"/>
      <c r="J61" s="42">
        <f>H61*I61</f>
        <v>0</v>
      </c>
      <c r="K61" s="42"/>
    </row>
    <row r="62" spans="1:11" hidden="1">
      <c r="A62" s="45"/>
      <c r="B62" s="46"/>
      <c r="C62" s="47"/>
      <c r="D62" s="45"/>
      <c r="E62" s="45"/>
      <c r="F62" s="46" t="s">
        <v>14</v>
      </c>
      <c r="G62" s="46"/>
      <c r="H62" s="48"/>
      <c r="I62" s="49"/>
      <c r="J62" s="49">
        <f>SUM(J57:J61)</f>
        <v>0</v>
      </c>
      <c r="K62" s="46"/>
    </row>
    <row r="63" spans="1:11">
      <c r="A63" s="50">
        <v>1</v>
      </c>
      <c r="B63" s="51" t="s">
        <v>35</v>
      </c>
      <c r="C63" s="43" t="s">
        <v>343</v>
      </c>
      <c r="D63" s="40">
        <v>611021</v>
      </c>
      <c r="E63" s="40">
        <v>1112</v>
      </c>
      <c r="F63" s="39" t="s">
        <v>344</v>
      </c>
      <c r="G63" s="39" t="s">
        <v>12</v>
      </c>
      <c r="H63" s="41">
        <v>35</v>
      </c>
      <c r="I63" s="42">
        <v>107.99</v>
      </c>
      <c r="J63" s="42">
        <f>H63*I63</f>
        <v>3779.6499999999996</v>
      </c>
      <c r="K63" s="52">
        <v>3779.65</v>
      </c>
    </row>
    <row r="64" spans="1:11">
      <c r="A64" s="45"/>
      <c r="B64" s="46"/>
      <c r="C64" s="47"/>
      <c r="D64" s="45"/>
      <c r="E64" s="45"/>
      <c r="F64" s="46" t="s">
        <v>14</v>
      </c>
      <c r="G64" s="46"/>
      <c r="H64" s="48"/>
      <c r="I64" s="49"/>
      <c r="J64" s="49">
        <f>SUM(J63)</f>
        <v>3779.6499999999996</v>
      </c>
      <c r="K64" s="46"/>
    </row>
    <row r="65" spans="1:11">
      <c r="A65" s="50">
        <v>1</v>
      </c>
      <c r="B65" s="51" t="s">
        <v>36</v>
      </c>
      <c r="C65" s="43" t="s">
        <v>247</v>
      </c>
      <c r="D65" s="40">
        <v>611021</v>
      </c>
      <c r="E65" s="40" t="s">
        <v>11</v>
      </c>
      <c r="F65" s="39" t="s">
        <v>375</v>
      </c>
      <c r="G65" s="39" t="s">
        <v>12</v>
      </c>
      <c r="H65" s="41">
        <f>9+5+2</f>
        <v>16</v>
      </c>
      <c r="I65" s="42"/>
      <c r="J65" s="42">
        <f>4032+2340+113</f>
        <v>6485</v>
      </c>
      <c r="K65" s="51">
        <v>6485</v>
      </c>
    </row>
    <row r="66" spans="1:11">
      <c r="A66" s="50">
        <v>2</v>
      </c>
      <c r="B66" s="51" t="s">
        <v>36</v>
      </c>
      <c r="C66" s="43" t="s">
        <v>247</v>
      </c>
      <c r="D66" s="40">
        <v>611021</v>
      </c>
      <c r="E66" s="40" t="s">
        <v>11</v>
      </c>
      <c r="F66" s="39" t="s">
        <v>317</v>
      </c>
      <c r="G66" s="39"/>
      <c r="H66" s="41">
        <v>4</v>
      </c>
      <c r="I66" s="42">
        <v>220</v>
      </c>
      <c r="J66" s="42">
        <v>880</v>
      </c>
      <c r="K66" s="51">
        <v>880</v>
      </c>
    </row>
    <row r="67" spans="1:11">
      <c r="A67" s="50">
        <v>3</v>
      </c>
      <c r="B67" s="51" t="s">
        <v>36</v>
      </c>
      <c r="C67" s="43" t="s">
        <v>247</v>
      </c>
      <c r="D67" s="40">
        <v>611021</v>
      </c>
      <c r="E67" s="40" t="s">
        <v>11</v>
      </c>
      <c r="F67" s="39" t="s">
        <v>376</v>
      </c>
      <c r="G67" s="39"/>
      <c r="H67" s="41">
        <f>2+1</f>
        <v>3</v>
      </c>
      <c r="I67" s="42"/>
      <c r="J67" s="42">
        <f>1900+1200</f>
        <v>3100</v>
      </c>
      <c r="K67" s="51">
        <v>3100</v>
      </c>
    </row>
    <row r="68" spans="1:11">
      <c r="A68" s="50">
        <v>4</v>
      </c>
      <c r="B68" s="51" t="s">
        <v>36</v>
      </c>
      <c r="C68" s="43" t="s">
        <v>247</v>
      </c>
      <c r="D68" s="40">
        <v>611021</v>
      </c>
      <c r="E68" s="40" t="s">
        <v>11</v>
      </c>
      <c r="F68" s="39" t="s">
        <v>82</v>
      </c>
      <c r="G68" s="39"/>
      <c r="H68" s="41">
        <v>1</v>
      </c>
      <c r="I68" s="42">
        <v>47</v>
      </c>
      <c r="J68" s="42">
        <v>47</v>
      </c>
      <c r="K68" s="51">
        <v>47</v>
      </c>
    </row>
    <row r="69" spans="1:11">
      <c r="A69" s="50">
        <v>5</v>
      </c>
      <c r="B69" s="51" t="s">
        <v>36</v>
      </c>
      <c r="C69" s="43" t="s">
        <v>247</v>
      </c>
      <c r="D69" s="40">
        <v>611021</v>
      </c>
      <c r="E69" s="40" t="s">
        <v>11</v>
      </c>
      <c r="F69" s="39" t="s">
        <v>377</v>
      </c>
      <c r="G69" s="39"/>
      <c r="H69" s="41">
        <f>1+1+10</f>
        <v>12</v>
      </c>
      <c r="I69" s="42"/>
      <c r="J69" s="42">
        <f>350+350+3500</f>
        <v>4200</v>
      </c>
      <c r="K69" s="51">
        <v>4200</v>
      </c>
    </row>
    <row r="70" spans="1:11">
      <c r="A70" s="50">
        <v>6</v>
      </c>
      <c r="B70" s="51" t="s">
        <v>36</v>
      </c>
      <c r="C70" s="43" t="s">
        <v>247</v>
      </c>
      <c r="D70" s="40">
        <v>611021</v>
      </c>
      <c r="E70" s="40" t="s">
        <v>11</v>
      </c>
      <c r="F70" s="39" t="s">
        <v>378</v>
      </c>
      <c r="G70" s="39"/>
      <c r="H70" s="41">
        <v>1</v>
      </c>
      <c r="I70" s="42">
        <v>90</v>
      </c>
      <c r="J70" s="42">
        <v>90</v>
      </c>
      <c r="K70" s="51">
        <v>90</v>
      </c>
    </row>
    <row r="71" spans="1:11">
      <c r="A71" s="50">
        <v>7</v>
      </c>
      <c r="B71" s="51" t="s">
        <v>36</v>
      </c>
      <c r="C71" s="43" t="s">
        <v>247</v>
      </c>
      <c r="D71" s="40">
        <v>611021</v>
      </c>
      <c r="E71" s="40" t="s">
        <v>11</v>
      </c>
      <c r="F71" s="39" t="s">
        <v>379</v>
      </c>
      <c r="G71" s="39"/>
      <c r="H71" s="41">
        <f>1+12</f>
        <v>13</v>
      </c>
      <c r="I71" s="42"/>
      <c r="J71" s="42">
        <f>360+1860</f>
        <v>2220</v>
      </c>
      <c r="K71" s="51">
        <v>2220</v>
      </c>
    </row>
    <row r="72" spans="1:11">
      <c r="A72" s="50">
        <v>8</v>
      </c>
      <c r="B72" s="51" t="s">
        <v>36</v>
      </c>
      <c r="C72" s="43" t="s">
        <v>247</v>
      </c>
      <c r="D72" s="40">
        <v>611021</v>
      </c>
      <c r="E72" s="40" t="s">
        <v>11</v>
      </c>
      <c r="F72" s="39" t="s">
        <v>380</v>
      </c>
      <c r="G72" s="39"/>
      <c r="H72" s="41">
        <v>2</v>
      </c>
      <c r="I72" s="42">
        <v>55</v>
      </c>
      <c r="J72" s="42">
        <v>110</v>
      </c>
      <c r="K72" s="51">
        <v>110</v>
      </c>
    </row>
    <row r="73" spans="1:11">
      <c r="A73" s="50">
        <v>9</v>
      </c>
      <c r="B73" s="51" t="s">
        <v>36</v>
      </c>
      <c r="C73" s="43" t="s">
        <v>247</v>
      </c>
      <c r="D73" s="40">
        <v>611021</v>
      </c>
      <c r="E73" s="40" t="s">
        <v>11</v>
      </c>
      <c r="F73" s="39" t="s">
        <v>89</v>
      </c>
      <c r="G73" s="39"/>
      <c r="H73" s="41">
        <v>4</v>
      </c>
      <c r="I73" s="42">
        <v>24.5</v>
      </c>
      <c r="J73" s="42">
        <v>98</v>
      </c>
      <c r="K73" s="51">
        <v>98</v>
      </c>
    </row>
    <row r="74" spans="1:11">
      <c r="A74" s="50">
        <v>10</v>
      </c>
      <c r="B74" s="51" t="s">
        <v>36</v>
      </c>
      <c r="C74" s="43" t="s">
        <v>247</v>
      </c>
      <c r="D74" s="40">
        <v>611021</v>
      </c>
      <c r="E74" s="40" t="s">
        <v>11</v>
      </c>
      <c r="F74" s="39" t="s">
        <v>97</v>
      </c>
      <c r="G74" s="39"/>
      <c r="H74" s="41">
        <f>1+2</f>
        <v>3</v>
      </c>
      <c r="I74" s="42"/>
      <c r="J74" s="42">
        <f>87.75+54</f>
        <v>141.75</v>
      </c>
      <c r="K74" s="51">
        <v>141.75</v>
      </c>
    </row>
    <row r="75" spans="1:11">
      <c r="A75" s="50">
        <v>11</v>
      </c>
      <c r="B75" s="51" t="s">
        <v>36</v>
      </c>
      <c r="C75" s="43" t="s">
        <v>247</v>
      </c>
      <c r="D75" s="40">
        <v>611021</v>
      </c>
      <c r="E75" s="40" t="s">
        <v>11</v>
      </c>
      <c r="F75" s="39" t="s">
        <v>381</v>
      </c>
      <c r="G75" s="39"/>
      <c r="H75" s="41">
        <v>20</v>
      </c>
      <c r="I75" s="42">
        <v>5</v>
      </c>
      <c r="J75" s="42">
        <v>100</v>
      </c>
      <c r="K75" s="51">
        <v>100</v>
      </c>
    </row>
    <row r="76" spans="1:11">
      <c r="A76" s="50">
        <v>12</v>
      </c>
      <c r="B76" s="51" t="s">
        <v>36</v>
      </c>
      <c r="C76" s="43" t="s">
        <v>247</v>
      </c>
      <c r="D76" s="40">
        <v>611021</v>
      </c>
      <c r="E76" s="40" t="s">
        <v>11</v>
      </c>
      <c r="F76" s="39" t="s">
        <v>382</v>
      </c>
      <c r="G76" s="39"/>
      <c r="H76" s="41">
        <v>1</v>
      </c>
      <c r="I76" s="42">
        <v>20</v>
      </c>
      <c r="J76" s="42">
        <v>20</v>
      </c>
      <c r="K76" s="51">
        <v>20</v>
      </c>
    </row>
    <row r="77" spans="1:11">
      <c r="A77" s="50">
        <v>13</v>
      </c>
      <c r="B77" s="51" t="s">
        <v>36</v>
      </c>
      <c r="C77" s="43" t="s">
        <v>247</v>
      </c>
      <c r="D77" s="40">
        <v>611021</v>
      </c>
      <c r="E77" s="40" t="s">
        <v>11</v>
      </c>
      <c r="F77" s="39" t="s">
        <v>296</v>
      </c>
      <c r="G77" s="39"/>
      <c r="H77" s="41">
        <v>2</v>
      </c>
      <c r="I77" s="42">
        <v>20</v>
      </c>
      <c r="J77" s="42">
        <v>40</v>
      </c>
      <c r="K77" s="51">
        <v>40</v>
      </c>
    </row>
    <row r="78" spans="1:11">
      <c r="A78" s="45"/>
      <c r="B78" s="46"/>
      <c r="C78" s="47"/>
      <c r="D78" s="45"/>
      <c r="E78" s="45"/>
      <c r="F78" s="46" t="s">
        <v>14</v>
      </c>
      <c r="G78" s="46"/>
      <c r="H78" s="48"/>
      <c r="I78" s="49"/>
      <c r="J78" s="49">
        <f>SUM(J65:J77)</f>
        <v>17531.75</v>
      </c>
      <c r="K78" s="46">
        <f>SUM(K65:K77)</f>
        <v>17531.75</v>
      </c>
    </row>
    <row r="79" spans="1:11">
      <c r="A79" s="50">
        <v>1</v>
      </c>
      <c r="B79" s="51" t="s">
        <v>56</v>
      </c>
      <c r="C79" s="43" t="s">
        <v>343</v>
      </c>
      <c r="D79" s="40">
        <v>611021</v>
      </c>
      <c r="E79" s="40">
        <v>1112</v>
      </c>
      <c r="F79" s="39" t="s">
        <v>344</v>
      </c>
      <c r="G79" s="39" t="s">
        <v>12</v>
      </c>
      <c r="H79" s="41">
        <v>122</v>
      </c>
      <c r="I79" s="42">
        <v>107.99</v>
      </c>
      <c r="J79" s="42">
        <f t="shared" ref="J79:J91" si="3">H79*I79</f>
        <v>13174.779999999999</v>
      </c>
      <c r="K79" s="51">
        <v>13174.78</v>
      </c>
    </row>
    <row r="80" spans="1:11">
      <c r="A80" s="50">
        <v>2</v>
      </c>
      <c r="B80" s="51" t="s">
        <v>56</v>
      </c>
      <c r="C80" s="43" t="s">
        <v>127</v>
      </c>
      <c r="D80" s="40">
        <v>613242</v>
      </c>
      <c r="E80" s="40" t="s">
        <v>125</v>
      </c>
      <c r="F80" s="39" t="s">
        <v>350</v>
      </c>
      <c r="G80" s="39" t="s">
        <v>12</v>
      </c>
      <c r="H80" s="41">
        <v>102</v>
      </c>
      <c r="I80" s="42">
        <v>10</v>
      </c>
      <c r="J80" s="42">
        <f t="shared" si="3"/>
        <v>1020</v>
      </c>
      <c r="K80" s="51">
        <v>1020</v>
      </c>
    </row>
    <row r="81" spans="1:11">
      <c r="A81" s="50">
        <v>3</v>
      </c>
      <c r="B81" s="51" t="s">
        <v>56</v>
      </c>
      <c r="C81" s="43" t="s">
        <v>127</v>
      </c>
      <c r="D81" s="40">
        <v>613242</v>
      </c>
      <c r="E81" s="40" t="s">
        <v>125</v>
      </c>
      <c r="F81" s="39" t="s">
        <v>71</v>
      </c>
      <c r="G81" s="39" t="s">
        <v>12</v>
      </c>
      <c r="H81" s="41">
        <v>4</v>
      </c>
      <c r="I81" s="42">
        <v>34</v>
      </c>
      <c r="J81" s="42">
        <f t="shared" si="3"/>
        <v>136</v>
      </c>
      <c r="K81" s="51">
        <v>136</v>
      </c>
    </row>
    <row r="82" spans="1:11">
      <c r="A82" s="50">
        <v>4</v>
      </c>
      <c r="B82" s="51" t="s">
        <v>56</v>
      </c>
      <c r="C82" s="43" t="s">
        <v>127</v>
      </c>
      <c r="D82" s="40">
        <v>613242</v>
      </c>
      <c r="E82" s="40" t="s">
        <v>134</v>
      </c>
      <c r="F82" s="39" t="s">
        <v>110</v>
      </c>
      <c r="G82" s="39" t="s">
        <v>12</v>
      </c>
      <c r="H82" s="53">
        <v>6</v>
      </c>
      <c r="I82" s="52">
        <v>12</v>
      </c>
      <c r="J82" s="42">
        <f t="shared" si="3"/>
        <v>72</v>
      </c>
      <c r="K82" s="51">
        <v>72</v>
      </c>
    </row>
    <row r="83" spans="1:11">
      <c r="A83" s="50">
        <v>5</v>
      </c>
      <c r="B83" s="51" t="s">
        <v>56</v>
      </c>
      <c r="C83" s="43" t="s">
        <v>127</v>
      </c>
      <c r="D83" s="40">
        <v>613242</v>
      </c>
      <c r="E83" s="40" t="s">
        <v>134</v>
      </c>
      <c r="F83" s="39" t="s">
        <v>133</v>
      </c>
      <c r="G83" s="39" t="s">
        <v>12</v>
      </c>
      <c r="H83" s="53">
        <v>3</v>
      </c>
      <c r="I83" s="54">
        <v>80</v>
      </c>
      <c r="J83" s="54">
        <f t="shared" si="3"/>
        <v>240</v>
      </c>
      <c r="K83" s="55">
        <v>240</v>
      </c>
    </row>
    <row r="84" spans="1:11">
      <c r="A84" s="50">
        <v>6</v>
      </c>
      <c r="B84" s="51" t="s">
        <v>56</v>
      </c>
      <c r="C84" s="43" t="s">
        <v>127</v>
      </c>
      <c r="D84" s="40">
        <v>613242</v>
      </c>
      <c r="E84" s="40" t="s">
        <v>134</v>
      </c>
      <c r="F84" s="39" t="s">
        <v>129</v>
      </c>
      <c r="G84" s="39" t="s">
        <v>12</v>
      </c>
      <c r="H84" s="53">
        <v>8</v>
      </c>
      <c r="I84" s="54">
        <v>10</v>
      </c>
      <c r="J84" s="54">
        <f t="shared" si="3"/>
        <v>80</v>
      </c>
      <c r="K84" s="55">
        <v>80</v>
      </c>
    </row>
    <row r="85" spans="1:11">
      <c r="A85" s="50">
        <v>7</v>
      </c>
      <c r="B85" s="51" t="s">
        <v>56</v>
      </c>
      <c r="C85" s="43" t="s">
        <v>127</v>
      </c>
      <c r="D85" s="40">
        <v>613242</v>
      </c>
      <c r="E85" s="40" t="s">
        <v>134</v>
      </c>
      <c r="F85" s="39" t="s">
        <v>129</v>
      </c>
      <c r="G85" s="39" t="s">
        <v>12</v>
      </c>
      <c r="H85" s="53">
        <v>107</v>
      </c>
      <c r="I85" s="54">
        <v>7</v>
      </c>
      <c r="J85" s="54">
        <f t="shared" si="3"/>
        <v>749</v>
      </c>
      <c r="K85" s="55">
        <v>749</v>
      </c>
    </row>
    <row r="86" spans="1:11">
      <c r="A86" s="50">
        <v>8</v>
      </c>
      <c r="B86" s="51" t="s">
        <v>56</v>
      </c>
      <c r="C86" s="43" t="s">
        <v>127</v>
      </c>
      <c r="D86" s="40">
        <v>613242</v>
      </c>
      <c r="E86" s="40" t="s">
        <v>125</v>
      </c>
      <c r="F86" s="39" t="s">
        <v>374</v>
      </c>
      <c r="G86" s="39" t="s">
        <v>12</v>
      </c>
      <c r="H86" s="53">
        <v>5</v>
      </c>
      <c r="I86" s="52">
        <v>15</v>
      </c>
      <c r="J86" s="42">
        <f t="shared" si="3"/>
        <v>75</v>
      </c>
      <c r="K86" s="51">
        <v>75</v>
      </c>
    </row>
    <row r="87" spans="1:11">
      <c r="A87" s="50">
        <v>9</v>
      </c>
      <c r="B87" s="51" t="s">
        <v>56</v>
      </c>
      <c r="C87" s="43" t="s">
        <v>127</v>
      </c>
      <c r="D87" s="40">
        <v>613242</v>
      </c>
      <c r="E87" s="40" t="s">
        <v>125</v>
      </c>
      <c r="F87" s="39" t="s">
        <v>321</v>
      </c>
      <c r="G87" s="39" t="s">
        <v>12</v>
      </c>
      <c r="H87" s="53">
        <v>10</v>
      </c>
      <c r="I87" s="52">
        <v>15</v>
      </c>
      <c r="J87" s="42">
        <f t="shared" si="3"/>
        <v>150</v>
      </c>
      <c r="K87" s="51">
        <v>150</v>
      </c>
    </row>
    <row r="88" spans="1:11">
      <c r="A88" s="50">
        <v>10</v>
      </c>
      <c r="B88" s="51" t="s">
        <v>56</v>
      </c>
      <c r="C88" s="43" t="s">
        <v>127</v>
      </c>
      <c r="D88" s="40">
        <v>613242</v>
      </c>
      <c r="E88" s="40" t="s">
        <v>125</v>
      </c>
      <c r="F88" s="39" t="s">
        <v>351</v>
      </c>
      <c r="G88" s="39" t="s">
        <v>12</v>
      </c>
      <c r="H88" s="53">
        <v>6</v>
      </c>
      <c r="I88" s="52">
        <v>20</v>
      </c>
      <c r="J88" s="42">
        <f t="shared" si="3"/>
        <v>120</v>
      </c>
      <c r="K88" s="51">
        <v>120</v>
      </c>
    </row>
    <row r="89" spans="1:11">
      <c r="A89" s="50">
        <v>11</v>
      </c>
      <c r="B89" s="51" t="s">
        <v>56</v>
      </c>
      <c r="C89" s="43" t="s">
        <v>127</v>
      </c>
      <c r="D89" s="40">
        <v>613242</v>
      </c>
      <c r="E89" s="40" t="s">
        <v>134</v>
      </c>
      <c r="F89" s="39" t="s">
        <v>128</v>
      </c>
      <c r="G89" s="39" t="s">
        <v>12</v>
      </c>
      <c r="H89" s="53">
        <v>16</v>
      </c>
      <c r="I89" s="52">
        <v>7</v>
      </c>
      <c r="J89" s="42">
        <f t="shared" si="3"/>
        <v>112</v>
      </c>
      <c r="K89" s="51">
        <v>112</v>
      </c>
    </row>
    <row r="90" spans="1:11">
      <c r="A90" s="50">
        <v>12</v>
      </c>
      <c r="B90" s="51" t="s">
        <v>56</v>
      </c>
      <c r="C90" s="43" t="s">
        <v>127</v>
      </c>
      <c r="D90" s="40">
        <v>613242</v>
      </c>
      <c r="E90" s="40" t="s">
        <v>134</v>
      </c>
      <c r="F90" s="39" t="s">
        <v>388</v>
      </c>
      <c r="G90" s="39" t="s">
        <v>12</v>
      </c>
      <c r="H90" s="53">
        <v>5</v>
      </c>
      <c r="I90" s="52">
        <v>5</v>
      </c>
      <c r="J90" s="42">
        <f t="shared" si="3"/>
        <v>25</v>
      </c>
      <c r="K90" s="51">
        <v>125</v>
      </c>
    </row>
    <row r="91" spans="1:11">
      <c r="A91" s="50">
        <v>13</v>
      </c>
      <c r="B91" s="51" t="s">
        <v>56</v>
      </c>
      <c r="C91" s="43" t="s">
        <v>127</v>
      </c>
      <c r="D91" s="40">
        <v>613242</v>
      </c>
      <c r="E91" s="40" t="s">
        <v>402</v>
      </c>
      <c r="F91" s="39" t="s">
        <v>322</v>
      </c>
      <c r="G91" s="39" t="s">
        <v>12</v>
      </c>
      <c r="H91" s="53">
        <v>6</v>
      </c>
      <c r="I91" s="52">
        <v>18</v>
      </c>
      <c r="J91" s="42">
        <f t="shared" si="3"/>
        <v>108</v>
      </c>
      <c r="K91" s="51">
        <v>108</v>
      </c>
    </row>
    <row r="92" spans="1:11">
      <c r="A92" s="50">
        <v>14</v>
      </c>
      <c r="B92" s="51" t="s">
        <v>56</v>
      </c>
      <c r="C92" s="43" t="s">
        <v>361</v>
      </c>
      <c r="D92" s="40">
        <v>613242</v>
      </c>
      <c r="E92" s="40" t="s">
        <v>125</v>
      </c>
      <c r="F92" s="39" t="s">
        <v>70</v>
      </c>
      <c r="G92" s="39" t="s">
        <v>12</v>
      </c>
      <c r="H92" s="53">
        <f>7+2+5</f>
        <v>14</v>
      </c>
      <c r="I92" s="52"/>
      <c r="J92" s="42">
        <f>140+60+100</f>
        <v>300</v>
      </c>
      <c r="K92" s="51">
        <v>300</v>
      </c>
    </row>
    <row r="93" spans="1:11">
      <c r="A93" s="50">
        <v>15</v>
      </c>
      <c r="B93" s="51" t="s">
        <v>56</v>
      </c>
      <c r="C93" s="43" t="s">
        <v>361</v>
      </c>
      <c r="D93" s="40">
        <v>613242</v>
      </c>
      <c r="E93" s="40" t="s">
        <v>134</v>
      </c>
      <c r="F93" s="39" t="s">
        <v>142</v>
      </c>
      <c r="G93" s="39" t="s">
        <v>12</v>
      </c>
      <c r="H93" s="53">
        <v>700</v>
      </c>
      <c r="I93" s="52">
        <v>0.85</v>
      </c>
      <c r="J93" s="42">
        <f>595</f>
        <v>595</v>
      </c>
      <c r="K93" s="51">
        <v>595</v>
      </c>
    </row>
    <row r="94" spans="1:11">
      <c r="A94" s="50">
        <v>16</v>
      </c>
      <c r="B94" s="51" t="s">
        <v>56</v>
      </c>
      <c r="C94" s="43" t="s">
        <v>361</v>
      </c>
      <c r="D94" s="40">
        <v>613242</v>
      </c>
      <c r="E94" s="40" t="s">
        <v>134</v>
      </c>
      <c r="F94" s="39" t="s">
        <v>234</v>
      </c>
      <c r="G94" s="39" t="s">
        <v>12</v>
      </c>
      <c r="H94" s="53">
        <v>150</v>
      </c>
      <c r="I94" s="52">
        <v>0.6</v>
      </c>
      <c r="J94" s="42">
        <v>90</v>
      </c>
      <c r="K94" s="51">
        <v>90</v>
      </c>
    </row>
    <row r="95" spans="1:11">
      <c r="A95" s="50">
        <v>17</v>
      </c>
      <c r="B95" s="51" t="s">
        <v>56</v>
      </c>
      <c r="C95" s="43" t="s">
        <v>361</v>
      </c>
      <c r="D95" s="40">
        <v>613242</v>
      </c>
      <c r="E95" s="40" t="s">
        <v>125</v>
      </c>
      <c r="F95" s="39" t="s">
        <v>383</v>
      </c>
      <c r="G95" s="39" t="s">
        <v>384</v>
      </c>
      <c r="H95" s="53">
        <f>4+4+50</f>
        <v>58</v>
      </c>
      <c r="I95" s="52"/>
      <c r="J95" s="42">
        <f>340+340+1100</f>
        <v>1780</v>
      </c>
      <c r="K95" s="51">
        <v>1780</v>
      </c>
    </row>
    <row r="96" spans="1:11">
      <c r="A96" s="50">
        <v>18</v>
      </c>
      <c r="B96" s="51" t="s">
        <v>56</v>
      </c>
      <c r="C96" s="43" t="s">
        <v>361</v>
      </c>
      <c r="D96" s="40">
        <v>613242</v>
      </c>
      <c r="E96" s="40" t="s">
        <v>125</v>
      </c>
      <c r="F96" s="39" t="s">
        <v>71</v>
      </c>
      <c r="G96" s="39" t="s">
        <v>27</v>
      </c>
      <c r="H96" s="53">
        <v>8</v>
      </c>
      <c r="I96" s="52">
        <v>34</v>
      </c>
      <c r="J96" s="42">
        <v>272</v>
      </c>
      <c r="K96" s="51">
        <v>272</v>
      </c>
    </row>
    <row r="97" spans="1:11">
      <c r="A97" s="50">
        <v>19</v>
      </c>
      <c r="B97" s="51" t="s">
        <v>56</v>
      </c>
      <c r="C97" s="43" t="s">
        <v>361</v>
      </c>
      <c r="D97" s="40">
        <v>613242</v>
      </c>
      <c r="E97" s="40" t="s">
        <v>125</v>
      </c>
      <c r="F97" s="39" t="s">
        <v>186</v>
      </c>
      <c r="G97" s="39" t="s">
        <v>385</v>
      </c>
      <c r="H97" s="53">
        <v>5</v>
      </c>
      <c r="I97" s="52">
        <v>150</v>
      </c>
      <c r="J97" s="42">
        <v>750</v>
      </c>
      <c r="K97" s="51">
        <v>750</v>
      </c>
    </row>
    <row r="98" spans="1:11">
      <c r="A98" s="50">
        <v>20</v>
      </c>
      <c r="B98" s="51" t="s">
        <v>56</v>
      </c>
      <c r="C98" s="43" t="s">
        <v>361</v>
      </c>
      <c r="D98" s="40">
        <v>613242</v>
      </c>
      <c r="E98" s="40" t="s">
        <v>134</v>
      </c>
      <c r="F98" s="39" t="s">
        <v>202</v>
      </c>
      <c r="G98" s="39" t="s">
        <v>12</v>
      </c>
      <c r="H98" s="53">
        <v>400</v>
      </c>
      <c r="I98" s="52">
        <v>0.5</v>
      </c>
      <c r="J98" s="42">
        <v>200</v>
      </c>
      <c r="K98" s="51">
        <v>200</v>
      </c>
    </row>
    <row r="99" spans="1:11">
      <c r="A99" s="45"/>
      <c r="B99" s="46"/>
      <c r="C99" s="47"/>
      <c r="D99" s="45"/>
      <c r="E99" s="45"/>
      <c r="F99" s="46" t="s">
        <v>14</v>
      </c>
      <c r="G99" s="46"/>
      <c r="H99" s="48"/>
      <c r="I99" s="49"/>
      <c r="J99" s="49">
        <f>SUM(J79:J98)</f>
        <v>20048.78</v>
      </c>
      <c r="K99" s="46">
        <f>SUM(K79:K98)</f>
        <v>20148.78</v>
      </c>
    </row>
    <row r="100" spans="1:11">
      <c r="A100" s="40">
        <v>1</v>
      </c>
      <c r="B100" s="39" t="s">
        <v>37</v>
      </c>
      <c r="C100" s="43" t="s">
        <v>115</v>
      </c>
      <c r="D100" s="40">
        <v>611021</v>
      </c>
      <c r="E100" s="40">
        <v>1113</v>
      </c>
      <c r="F100" s="39" t="s">
        <v>368</v>
      </c>
      <c r="G100" s="39" t="s">
        <v>12</v>
      </c>
      <c r="H100" s="41">
        <v>1</v>
      </c>
      <c r="I100" s="42">
        <v>1850</v>
      </c>
      <c r="J100" s="42">
        <f t="shared" ref="J100:J112" si="4">H100*I100</f>
        <v>1850</v>
      </c>
      <c r="K100" s="39">
        <v>1850</v>
      </c>
    </row>
    <row r="101" spans="1:11">
      <c r="A101" s="40">
        <v>2</v>
      </c>
      <c r="B101" s="39" t="s">
        <v>37</v>
      </c>
      <c r="C101" s="43" t="s">
        <v>115</v>
      </c>
      <c r="D101" s="40">
        <v>611021</v>
      </c>
      <c r="E101" s="40">
        <v>1113</v>
      </c>
      <c r="F101" s="39" t="s">
        <v>58</v>
      </c>
      <c r="G101" s="39" t="s">
        <v>12</v>
      </c>
      <c r="H101" s="41">
        <v>1</v>
      </c>
      <c r="I101" s="42">
        <v>2499.21</v>
      </c>
      <c r="J101" s="42">
        <f t="shared" si="4"/>
        <v>2499.21</v>
      </c>
      <c r="K101" s="39">
        <v>2499.21</v>
      </c>
    </row>
    <row r="102" spans="1:11">
      <c r="A102" s="40">
        <v>3</v>
      </c>
      <c r="B102" s="39" t="s">
        <v>37</v>
      </c>
      <c r="C102" s="43" t="s">
        <v>115</v>
      </c>
      <c r="D102" s="40">
        <v>611021</v>
      </c>
      <c r="E102" s="40">
        <v>1113</v>
      </c>
      <c r="F102" s="39" t="s">
        <v>369</v>
      </c>
      <c r="G102" s="39" t="s">
        <v>12</v>
      </c>
      <c r="H102" s="53">
        <v>3</v>
      </c>
      <c r="I102" s="52">
        <v>2860</v>
      </c>
      <c r="J102" s="42">
        <f t="shared" si="4"/>
        <v>8580</v>
      </c>
      <c r="K102" s="39">
        <v>8580</v>
      </c>
    </row>
    <row r="103" spans="1:11">
      <c r="A103" s="40">
        <v>4</v>
      </c>
      <c r="B103" s="39" t="s">
        <v>37</v>
      </c>
      <c r="C103" s="43" t="s">
        <v>115</v>
      </c>
      <c r="D103" s="40">
        <v>611021</v>
      </c>
      <c r="E103" s="40">
        <v>1113</v>
      </c>
      <c r="F103" s="39" t="s">
        <v>370</v>
      </c>
      <c r="G103" s="39" t="s">
        <v>12</v>
      </c>
      <c r="H103" s="53">
        <v>2</v>
      </c>
      <c r="I103" s="52">
        <v>348.35</v>
      </c>
      <c r="J103" s="42">
        <f t="shared" si="4"/>
        <v>696.7</v>
      </c>
      <c r="K103" s="39">
        <v>696.7</v>
      </c>
    </row>
    <row r="104" spans="1:11">
      <c r="A104" s="40">
        <v>5</v>
      </c>
      <c r="B104" s="39" t="s">
        <v>37</v>
      </c>
      <c r="C104" s="43" t="s">
        <v>115</v>
      </c>
      <c r="D104" s="40">
        <v>613242</v>
      </c>
      <c r="E104" s="40" t="s">
        <v>134</v>
      </c>
      <c r="F104" s="39" t="s">
        <v>371</v>
      </c>
      <c r="G104" s="39" t="s">
        <v>12</v>
      </c>
      <c r="H104" s="53">
        <v>28</v>
      </c>
      <c r="I104" s="52">
        <v>37.5</v>
      </c>
      <c r="J104" s="42">
        <f t="shared" si="4"/>
        <v>1050</v>
      </c>
      <c r="K104" s="39">
        <v>1050</v>
      </c>
    </row>
    <row r="105" spans="1:11">
      <c r="A105" s="40">
        <v>6</v>
      </c>
      <c r="B105" s="39" t="s">
        <v>37</v>
      </c>
      <c r="C105" s="43" t="s">
        <v>115</v>
      </c>
      <c r="D105" s="40">
        <v>613242</v>
      </c>
      <c r="E105" s="40" t="s">
        <v>134</v>
      </c>
      <c r="F105" s="39" t="s">
        <v>386</v>
      </c>
      <c r="G105" s="39" t="s">
        <v>12</v>
      </c>
      <c r="H105" s="53">
        <v>7</v>
      </c>
      <c r="I105" s="52">
        <v>75</v>
      </c>
      <c r="J105" s="42">
        <f t="shared" si="4"/>
        <v>525</v>
      </c>
      <c r="K105" s="39">
        <v>525</v>
      </c>
    </row>
    <row r="106" spans="1:11">
      <c r="A106" s="40">
        <v>7</v>
      </c>
      <c r="B106" s="39" t="s">
        <v>37</v>
      </c>
      <c r="C106" s="43" t="s">
        <v>115</v>
      </c>
      <c r="D106" s="40">
        <v>611021</v>
      </c>
      <c r="E106" s="40">
        <v>1113</v>
      </c>
      <c r="F106" s="39" t="s">
        <v>91</v>
      </c>
      <c r="G106" s="39" t="s">
        <v>12</v>
      </c>
      <c r="H106" s="53">
        <v>1</v>
      </c>
      <c r="I106" s="52">
        <v>1083.3499999999999</v>
      </c>
      <c r="J106" s="42">
        <f t="shared" si="4"/>
        <v>1083.3499999999999</v>
      </c>
      <c r="K106" s="39">
        <v>1083.3499999999999</v>
      </c>
    </row>
    <row r="107" spans="1:11">
      <c r="A107" s="40">
        <v>8</v>
      </c>
      <c r="B107" s="39" t="s">
        <v>37</v>
      </c>
      <c r="C107" s="43" t="s">
        <v>115</v>
      </c>
      <c r="D107" s="40">
        <v>611021</v>
      </c>
      <c r="E107" s="40">
        <v>1113</v>
      </c>
      <c r="F107" s="39" t="s">
        <v>133</v>
      </c>
      <c r="G107" s="39" t="s">
        <v>12</v>
      </c>
      <c r="H107" s="53">
        <v>1</v>
      </c>
      <c r="I107" s="52">
        <v>333.35</v>
      </c>
      <c r="J107" s="42">
        <f t="shared" si="4"/>
        <v>333.35</v>
      </c>
      <c r="K107" s="39">
        <v>333.35</v>
      </c>
    </row>
    <row r="108" spans="1:11">
      <c r="A108" s="40">
        <v>9</v>
      </c>
      <c r="B108" s="39" t="s">
        <v>37</v>
      </c>
      <c r="C108" s="43" t="s">
        <v>115</v>
      </c>
      <c r="D108" s="40">
        <v>611021</v>
      </c>
      <c r="E108" s="40">
        <v>1113</v>
      </c>
      <c r="F108" s="39" t="s">
        <v>59</v>
      </c>
      <c r="G108" s="39" t="s">
        <v>12</v>
      </c>
      <c r="H108" s="53">
        <v>1</v>
      </c>
      <c r="I108" s="52">
        <v>1221.6500000000001</v>
      </c>
      <c r="J108" s="42">
        <f t="shared" si="4"/>
        <v>1221.6500000000001</v>
      </c>
      <c r="K108" s="39">
        <v>1221.6500000000001</v>
      </c>
    </row>
    <row r="109" spans="1:11">
      <c r="A109" s="40">
        <v>10</v>
      </c>
      <c r="B109" s="39" t="s">
        <v>37</v>
      </c>
      <c r="C109" s="43" t="s">
        <v>115</v>
      </c>
      <c r="D109" s="40">
        <v>611021</v>
      </c>
      <c r="E109" s="40">
        <v>1114</v>
      </c>
      <c r="F109" s="39" t="s">
        <v>179</v>
      </c>
      <c r="G109" s="39" t="s">
        <v>12</v>
      </c>
      <c r="H109" s="53">
        <v>5</v>
      </c>
      <c r="I109" s="52">
        <v>123</v>
      </c>
      <c r="J109" s="42">
        <f t="shared" si="4"/>
        <v>615</v>
      </c>
      <c r="K109" s="39">
        <v>615</v>
      </c>
    </row>
    <row r="110" spans="1:11">
      <c r="A110" s="40">
        <v>11</v>
      </c>
      <c r="B110" s="39" t="s">
        <v>37</v>
      </c>
      <c r="C110" s="43" t="s">
        <v>115</v>
      </c>
      <c r="D110" s="40">
        <v>611021</v>
      </c>
      <c r="E110" s="40">
        <v>1114</v>
      </c>
      <c r="F110" s="39" t="s">
        <v>200</v>
      </c>
      <c r="G110" s="39" t="s">
        <v>12</v>
      </c>
      <c r="H110" s="53">
        <v>5</v>
      </c>
      <c r="I110" s="52">
        <v>420</v>
      </c>
      <c r="J110" s="42">
        <f t="shared" si="4"/>
        <v>2100</v>
      </c>
      <c r="K110" s="39">
        <v>2100</v>
      </c>
    </row>
    <row r="111" spans="1:11">
      <c r="A111" s="40">
        <v>12</v>
      </c>
      <c r="B111" s="39" t="s">
        <v>37</v>
      </c>
      <c r="C111" s="43" t="s">
        <v>115</v>
      </c>
      <c r="D111" s="40">
        <v>611021</v>
      </c>
      <c r="E111" s="40">
        <v>1114</v>
      </c>
      <c r="F111" s="39" t="s">
        <v>25</v>
      </c>
      <c r="G111" s="39" t="s">
        <v>12</v>
      </c>
      <c r="H111" s="53">
        <v>5</v>
      </c>
      <c r="I111" s="52">
        <v>195</v>
      </c>
      <c r="J111" s="42">
        <f t="shared" si="4"/>
        <v>975</v>
      </c>
      <c r="K111" s="39">
        <v>975</v>
      </c>
    </row>
    <row r="112" spans="1:11">
      <c r="A112" s="40">
        <v>13</v>
      </c>
      <c r="B112" s="39" t="s">
        <v>37</v>
      </c>
      <c r="C112" s="43" t="s">
        <v>361</v>
      </c>
      <c r="D112" s="40">
        <v>613242</v>
      </c>
      <c r="E112" s="40" t="s">
        <v>125</v>
      </c>
      <c r="F112" s="39" t="s">
        <v>70</v>
      </c>
      <c r="G112" s="39" t="s">
        <v>12</v>
      </c>
      <c r="H112" s="53">
        <v>2</v>
      </c>
      <c r="I112" s="52">
        <v>50</v>
      </c>
      <c r="J112" s="42">
        <f t="shared" si="4"/>
        <v>100</v>
      </c>
      <c r="K112" s="39">
        <v>100</v>
      </c>
    </row>
    <row r="113" spans="1:11">
      <c r="A113" s="40">
        <v>14</v>
      </c>
      <c r="B113" s="39" t="s">
        <v>37</v>
      </c>
      <c r="C113" s="43" t="s">
        <v>361</v>
      </c>
      <c r="D113" s="40">
        <v>613242</v>
      </c>
      <c r="E113" s="40" t="s">
        <v>134</v>
      </c>
      <c r="F113" s="39" t="s">
        <v>142</v>
      </c>
      <c r="G113" s="39" t="s">
        <v>12</v>
      </c>
      <c r="H113" s="41">
        <v>100</v>
      </c>
      <c r="I113" s="42">
        <v>0.5</v>
      </c>
      <c r="J113" s="42">
        <f>H113*I113</f>
        <v>50</v>
      </c>
      <c r="K113" s="39">
        <v>50</v>
      </c>
    </row>
    <row r="114" spans="1:11">
      <c r="A114" s="40">
        <v>15</v>
      </c>
      <c r="B114" s="39" t="s">
        <v>37</v>
      </c>
      <c r="C114" s="43" t="s">
        <v>361</v>
      </c>
      <c r="D114" s="40">
        <v>613242</v>
      </c>
      <c r="E114" s="40" t="s">
        <v>134</v>
      </c>
      <c r="F114" s="39" t="s">
        <v>234</v>
      </c>
      <c r="G114" s="39" t="s">
        <v>12</v>
      </c>
      <c r="H114" s="41">
        <v>100</v>
      </c>
      <c r="I114" s="42">
        <v>0.5</v>
      </c>
      <c r="J114" s="42">
        <f>H114*I114</f>
        <v>50</v>
      </c>
      <c r="K114" s="39">
        <v>50</v>
      </c>
    </row>
    <row r="115" spans="1:11">
      <c r="A115" s="40">
        <v>16</v>
      </c>
      <c r="B115" s="39" t="s">
        <v>37</v>
      </c>
      <c r="C115" s="43" t="s">
        <v>361</v>
      </c>
      <c r="D115" s="40">
        <v>613242</v>
      </c>
      <c r="E115" s="40" t="s">
        <v>125</v>
      </c>
      <c r="F115" s="39" t="s">
        <v>383</v>
      </c>
      <c r="G115" s="39" t="s">
        <v>12</v>
      </c>
      <c r="H115" s="41">
        <f>3+4</f>
        <v>7</v>
      </c>
      <c r="I115" s="42"/>
      <c r="J115" s="42">
        <f>120+160</f>
        <v>280</v>
      </c>
      <c r="K115" s="39">
        <v>280</v>
      </c>
    </row>
    <row r="116" spans="1:11">
      <c r="A116" s="40">
        <v>17</v>
      </c>
      <c r="B116" s="39" t="s">
        <v>37</v>
      </c>
      <c r="C116" s="43" t="s">
        <v>127</v>
      </c>
      <c r="D116" s="40">
        <v>613242</v>
      </c>
      <c r="E116" s="40" t="s">
        <v>125</v>
      </c>
      <c r="F116" s="39" t="s">
        <v>350</v>
      </c>
      <c r="G116" s="39" t="s">
        <v>12</v>
      </c>
      <c r="H116" s="41">
        <v>102</v>
      </c>
      <c r="I116" s="42">
        <v>5</v>
      </c>
      <c r="J116" s="42">
        <v>510</v>
      </c>
      <c r="K116" s="39">
        <v>510</v>
      </c>
    </row>
    <row r="117" spans="1:11">
      <c r="A117" s="40">
        <v>18</v>
      </c>
      <c r="B117" s="39" t="s">
        <v>37</v>
      </c>
      <c r="C117" s="43" t="s">
        <v>127</v>
      </c>
      <c r="D117" s="40">
        <v>613242</v>
      </c>
      <c r="E117" s="40" t="s">
        <v>125</v>
      </c>
      <c r="F117" s="39" t="s">
        <v>71</v>
      </c>
      <c r="G117" s="39" t="s">
        <v>27</v>
      </c>
      <c r="H117" s="41">
        <v>5</v>
      </c>
      <c r="I117" s="42">
        <v>30</v>
      </c>
      <c r="J117" s="42">
        <v>150</v>
      </c>
      <c r="K117" s="39">
        <v>150</v>
      </c>
    </row>
    <row r="118" spans="1:11">
      <c r="A118" s="40">
        <v>19</v>
      </c>
      <c r="B118" s="39" t="s">
        <v>37</v>
      </c>
      <c r="C118" s="43" t="s">
        <v>127</v>
      </c>
      <c r="D118" s="40">
        <v>611021</v>
      </c>
      <c r="E118" s="40">
        <v>1113</v>
      </c>
      <c r="F118" s="39" t="s">
        <v>387</v>
      </c>
      <c r="G118" s="39" t="s">
        <v>12</v>
      </c>
      <c r="H118" s="41">
        <v>3</v>
      </c>
      <c r="I118" s="42">
        <v>50</v>
      </c>
      <c r="J118" s="42">
        <v>150</v>
      </c>
      <c r="K118" s="39">
        <v>150</v>
      </c>
    </row>
    <row r="119" spans="1:11">
      <c r="A119" s="40">
        <v>20</v>
      </c>
      <c r="B119" s="39" t="s">
        <v>37</v>
      </c>
      <c r="C119" s="43" t="s">
        <v>127</v>
      </c>
      <c r="D119" s="40">
        <v>613242</v>
      </c>
      <c r="E119" s="40" t="s">
        <v>134</v>
      </c>
      <c r="F119" s="39" t="s">
        <v>129</v>
      </c>
      <c r="G119" s="39" t="s">
        <v>12</v>
      </c>
      <c r="H119" s="41">
        <v>8</v>
      </c>
      <c r="I119" s="42">
        <v>10</v>
      </c>
      <c r="J119" s="42">
        <v>80</v>
      </c>
      <c r="K119" s="39">
        <v>80</v>
      </c>
    </row>
    <row r="120" spans="1:11">
      <c r="A120" s="40">
        <v>21</v>
      </c>
      <c r="B120" s="39" t="s">
        <v>37</v>
      </c>
      <c r="C120" s="43" t="s">
        <v>127</v>
      </c>
      <c r="D120" s="40">
        <v>613242</v>
      </c>
      <c r="E120" s="40" t="s">
        <v>134</v>
      </c>
      <c r="F120" s="39" t="s">
        <v>128</v>
      </c>
      <c r="G120" s="39" t="s">
        <v>12</v>
      </c>
      <c r="H120" s="41">
        <v>106</v>
      </c>
      <c r="I120" s="42">
        <v>10</v>
      </c>
      <c r="J120" s="42">
        <v>1060</v>
      </c>
      <c r="K120" s="39">
        <v>1060</v>
      </c>
    </row>
    <row r="121" spans="1:11">
      <c r="A121" s="40">
        <v>22</v>
      </c>
      <c r="B121" s="39" t="s">
        <v>37</v>
      </c>
      <c r="C121" s="43" t="s">
        <v>127</v>
      </c>
      <c r="D121" s="40">
        <v>613242</v>
      </c>
      <c r="E121" s="40" t="s">
        <v>125</v>
      </c>
      <c r="F121" s="39" t="s">
        <v>351</v>
      </c>
      <c r="G121" s="39" t="s">
        <v>12</v>
      </c>
      <c r="H121" s="41">
        <v>7</v>
      </c>
      <c r="I121" s="42">
        <v>10</v>
      </c>
      <c r="J121" s="42">
        <v>70</v>
      </c>
      <c r="K121" s="39">
        <v>70</v>
      </c>
    </row>
    <row r="122" spans="1:11">
      <c r="A122" s="40">
        <v>23</v>
      </c>
      <c r="B122" s="39" t="s">
        <v>37</v>
      </c>
      <c r="C122" s="43" t="s">
        <v>127</v>
      </c>
      <c r="D122" s="40">
        <v>613242</v>
      </c>
      <c r="E122" s="40" t="s">
        <v>134</v>
      </c>
      <c r="F122" s="39" t="s">
        <v>388</v>
      </c>
      <c r="G122" s="39" t="s">
        <v>12</v>
      </c>
      <c r="H122" s="41">
        <v>5</v>
      </c>
      <c r="I122" s="42">
        <v>10</v>
      </c>
      <c r="J122" s="42">
        <v>50</v>
      </c>
      <c r="K122" s="39">
        <v>50</v>
      </c>
    </row>
    <row r="123" spans="1:11">
      <c r="A123" s="40">
        <v>24</v>
      </c>
      <c r="B123" s="39" t="s">
        <v>37</v>
      </c>
      <c r="C123" s="43" t="s">
        <v>127</v>
      </c>
      <c r="D123" s="40">
        <v>613242</v>
      </c>
      <c r="E123" s="40" t="s">
        <v>125</v>
      </c>
      <c r="F123" s="39" t="s">
        <v>322</v>
      </c>
      <c r="G123" s="39" t="s">
        <v>12</v>
      </c>
      <c r="H123" s="41">
        <v>6</v>
      </c>
      <c r="I123" s="42">
        <v>15</v>
      </c>
      <c r="J123" s="42">
        <v>90</v>
      </c>
      <c r="K123" s="39">
        <v>90</v>
      </c>
    </row>
    <row r="124" spans="1:11" ht="30">
      <c r="A124" s="40">
        <v>25</v>
      </c>
      <c r="B124" s="39" t="s">
        <v>37</v>
      </c>
      <c r="C124" s="43" t="s">
        <v>400</v>
      </c>
      <c r="D124" s="40">
        <v>617520</v>
      </c>
      <c r="E124" s="40">
        <v>1113</v>
      </c>
      <c r="F124" s="39" t="s">
        <v>401</v>
      </c>
      <c r="G124" s="39" t="s">
        <v>12</v>
      </c>
      <c r="H124" s="41">
        <v>17</v>
      </c>
      <c r="I124" s="42">
        <v>14159.08</v>
      </c>
      <c r="J124" s="42">
        <v>240704.36</v>
      </c>
      <c r="K124" s="39"/>
    </row>
    <row r="125" spans="1:11">
      <c r="A125" s="45"/>
      <c r="B125" s="46"/>
      <c r="C125" s="47"/>
      <c r="D125" s="45"/>
      <c r="E125" s="45"/>
      <c r="F125" s="46" t="s">
        <v>14</v>
      </c>
      <c r="G125" s="46"/>
      <c r="H125" s="48"/>
      <c r="I125" s="49"/>
      <c r="J125" s="49">
        <f>SUM(J100:J124)</f>
        <v>264873.62</v>
      </c>
      <c r="K125" s="46">
        <f>SUM(K100:K123)</f>
        <v>24169.260000000002</v>
      </c>
    </row>
    <row r="126" spans="1:11">
      <c r="A126" s="50">
        <v>1</v>
      </c>
      <c r="B126" s="51" t="s">
        <v>39</v>
      </c>
      <c r="C126" s="43" t="s">
        <v>343</v>
      </c>
      <c r="D126" s="40">
        <v>611021</v>
      </c>
      <c r="E126" s="40">
        <v>1112</v>
      </c>
      <c r="F126" s="39" t="s">
        <v>344</v>
      </c>
      <c r="G126" s="39" t="s">
        <v>12</v>
      </c>
      <c r="H126" s="41">
        <v>44</v>
      </c>
      <c r="I126" s="42">
        <v>107.99</v>
      </c>
      <c r="J126" s="42">
        <f>H126*I126</f>
        <v>4751.5599999999995</v>
      </c>
      <c r="K126" s="51">
        <v>4751.5600000000004</v>
      </c>
    </row>
    <row r="127" spans="1:11">
      <c r="A127" s="45"/>
      <c r="B127" s="46"/>
      <c r="C127" s="47"/>
      <c r="D127" s="45"/>
      <c r="E127" s="45"/>
      <c r="F127" s="46" t="s">
        <v>14</v>
      </c>
      <c r="G127" s="46"/>
      <c r="H127" s="48"/>
      <c r="I127" s="49"/>
      <c r="J127" s="49">
        <f>SUM(J126)</f>
        <v>4751.5599999999995</v>
      </c>
      <c r="K127" s="46"/>
    </row>
    <row r="128" spans="1:11">
      <c r="A128" s="50">
        <v>1</v>
      </c>
      <c r="B128" s="51" t="s">
        <v>42</v>
      </c>
      <c r="C128" s="43" t="s">
        <v>343</v>
      </c>
      <c r="D128" s="40">
        <v>611021</v>
      </c>
      <c r="E128" s="40">
        <v>1112</v>
      </c>
      <c r="F128" s="39" t="s">
        <v>344</v>
      </c>
      <c r="G128" s="39" t="s">
        <v>12</v>
      </c>
      <c r="H128" s="41">
        <v>25</v>
      </c>
      <c r="I128" s="42">
        <v>107.99</v>
      </c>
      <c r="J128" s="42">
        <f>H128*I128</f>
        <v>2699.75</v>
      </c>
      <c r="K128" s="51">
        <v>2699.75</v>
      </c>
    </row>
    <row r="129" spans="1:11">
      <c r="A129" s="45"/>
      <c r="B129" s="46"/>
      <c r="C129" s="47"/>
      <c r="D129" s="45"/>
      <c r="E129" s="45"/>
      <c r="F129" s="46" t="s">
        <v>14</v>
      </c>
      <c r="G129" s="46"/>
      <c r="H129" s="48"/>
      <c r="I129" s="49"/>
      <c r="J129" s="49">
        <f>SUM(J128)</f>
        <v>2699.75</v>
      </c>
      <c r="K129" s="46"/>
    </row>
    <row r="130" spans="1:11" ht="30">
      <c r="A130" s="50">
        <v>1</v>
      </c>
      <c r="B130" s="51" t="s">
        <v>83</v>
      </c>
      <c r="C130" s="43" t="s">
        <v>400</v>
      </c>
      <c r="D130" s="40">
        <v>617520</v>
      </c>
      <c r="E130" s="40">
        <v>1113</v>
      </c>
      <c r="F130" s="39" t="s">
        <v>401</v>
      </c>
      <c r="G130" s="39" t="s">
        <v>12</v>
      </c>
      <c r="H130" s="41">
        <v>30</v>
      </c>
      <c r="I130" s="42"/>
      <c r="J130" s="42">
        <f>428492.48</f>
        <v>428492.48</v>
      </c>
      <c r="K130" s="51"/>
    </row>
    <row r="131" spans="1:11">
      <c r="A131" s="45"/>
      <c r="B131" s="46"/>
      <c r="C131" s="47"/>
      <c r="D131" s="45"/>
      <c r="E131" s="45"/>
      <c r="F131" s="46" t="s">
        <v>14</v>
      </c>
      <c r="G131" s="46"/>
      <c r="H131" s="48"/>
      <c r="I131" s="49"/>
      <c r="J131" s="49">
        <f>SUM(J130)</f>
        <v>428492.48</v>
      </c>
      <c r="K131" s="46"/>
    </row>
    <row r="132" spans="1:11">
      <c r="A132" s="40">
        <v>1</v>
      </c>
      <c r="B132" s="39" t="s">
        <v>107</v>
      </c>
      <c r="C132" s="43" t="s">
        <v>115</v>
      </c>
      <c r="D132" s="40">
        <v>611021</v>
      </c>
      <c r="E132" s="40">
        <v>1113</v>
      </c>
      <c r="F132" s="39" t="s">
        <v>368</v>
      </c>
      <c r="G132" s="39" t="s">
        <v>12</v>
      </c>
      <c r="H132" s="41">
        <v>1</v>
      </c>
      <c r="I132" s="42">
        <v>1850</v>
      </c>
      <c r="J132" s="42">
        <f>H132*I132</f>
        <v>1850</v>
      </c>
      <c r="K132" s="39">
        <v>1850</v>
      </c>
    </row>
    <row r="133" spans="1:11">
      <c r="A133" s="40">
        <v>2</v>
      </c>
      <c r="B133" s="39" t="s">
        <v>107</v>
      </c>
      <c r="C133" s="43" t="s">
        <v>115</v>
      </c>
      <c r="D133" s="40">
        <v>611021</v>
      </c>
      <c r="E133" s="40">
        <v>1113</v>
      </c>
      <c r="F133" s="39" t="s">
        <v>58</v>
      </c>
      <c r="G133" s="39" t="s">
        <v>12</v>
      </c>
      <c r="H133" s="41">
        <v>1</v>
      </c>
      <c r="I133" s="42">
        <v>2499.21</v>
      </c>
      <c r="J133" s="42">
        <f t="shared" ref="J133:J159" si="5">H133*I133</f>
        <v>2499.21</v>
      </c>
      <c r="K133" s="39">
        <v>2499.21</v>
      </c>
    </row>
    <row r="134" spans="1:11">
      <c r="A134" s="40">
        <v>3</v>
      </c>
      <c r="B134" s="39" t="s">
        <v>107</v>
      </c>
      <c r="C134" s="43" t="s">
        <v>115</v>
      </c>
      <c r="D134" s="40">
        <v>611021</v>
      </c>
      <c r="E134" s="40">
        <v>1113</v>
      </c>
      <c r="F134" s="39" t="s">
        <v>369</v>
      </c>
      <c r="G134" s="39" t="s">
        <v>12</v>
      </c>
      <c r="H134" s="41">
        <v>3</v>
      </c>
      <c r="I134" s="42">
        <v>2860</v>
      </c>
      <c r="J134" s="42">
        <f t="shared" si="5"/>
        <v>8580</v>
      </c>
      <c r="K134" s="39">
        <v>8580</v>
      </c>
    </row>
    <row r="135" spans="1:11">
      <c r="A135" s="40">
        <v>4</v>
      </c>
      <c r="B135" s="39" t="s">
        <v>107</v>
      </c>
      <c r="C135" s="43" t="s">
        <v>115</v>
      </c>
      <c r="D135" s="40">
        <v>611021</v>
      </c>
      <c r="E135" s="40">
        <v>1113</v>
      </c>
      <c r="F135" s="39" t="s">
        <v>370</v>
      </c>
      <c r="G135" s="39" t="s">
        <v>12</v>
      </c>
      <c r="H135" s="53">
        <v>1</v>
      </c>
      <c r="I135" s="52">
        <v>348.35</v>
      </c>
      <c r="J135" s="42">
        <f t="shared" si="5"/>
        <v>348.35</v>
      </c>
      <c r="K135" s="39">
        <v>348.35</v>
      </c>
    </row>
    <row r="136" spans="1:11">
      <c r="A136" s="40">
        <v>5</v>
      </c>
      <c r="B136" s="39" t="s">
        <v>107</v>
      </c>
      <c r="C136" s="43" t="s">
        <v>115</v>
      </c>
      <c r="D136" s="40">
        <v>613242</v>
      </c>
      <c r="E136" s="40" t="s">
        <v>134</v>
      </c>
      <c r="F136" s="39" t="s">
        <v>371</v>
      </c>
      <c r="G136" s="39" t="s">
        <v>12</v>
      </c>
      <c r="H136" s="53">
        <v>28</v>
      </c>
      <c r="I136" s="52">
        <v>37.5</v>
      </c>
      <c r="J136" s="42">
        <f t="shared" si="5"/>
        <v>1050</v>
      </c>
      <c r="K136" s="39">
        <v>1050</v>
      </c>
    </row>
    <row r="137" spans="1:11">
      <c r="A137" s="40">
        <v>6</v>
      </c>
      <c r="B137" s="39" t="s">
        <v>107</v>
      </c>
      <c r="C137" s="43" t="s">
        <v>115</v>
      </c>
      <c r="D137" s="40">
        <v>613242</v>
      </c>
      <c r="E137" s="40" t="s">
        <v>134</v>
      </c>
      <c r="F137" s="39" t="s">
        <v>372</v>
      </c>
      <c r="G137" s="39" t="s">
        <v>12</v>
      </c>
      <c r="H137" s="53">
        <v>7</v>
      </c>
      <c r="I137" s="52">
        <v>75</v>
      </c>
      <c r="J137" s="42">
        <f t="shared" si="5"/>
        <v>525</v>
      </c>
      <c r="K137" s="39">
        <v>525</v>
      </c>
    </row>
    <row r="138" spans="1:11">
      <c r="A138" s="40">
        <v>7</v>
      </c>
      <c r="B138" s="39" t="s">
        <v>107</v>
      </c>
      <c r="C138" s="43" t="s">
        <v>115</v>
      </c>
      <c r="D138" s="40">
        <v>611021</v>
      </c>
      <c r="E138" s="40">
        <v>1113</v>
      </c>
      <c r="F138" s="39" t="s">
        <v>91</v>
      </c>
      <c r="G138" s="39" t="s">
        <v>12</v>
      </c>
      <c r="H138" s="53">
        <v>1</v>
      </c>
      <c r="I138" s="52">
        <v>1083.3499999999999</v>
      </c>
      <c r="J138" s="42">
        <f t="shared" si="5"/>
        <v>1083.3499999999999</v>
      </c>
      <c r="K138" s="39">
        <v>1083.3499999999999</v>
      </c>
    </row>
    <row r="139" spans="1:11">
      <c r="A139" s="40">
        <v>8</v>
      </c>
      <c r="B139" s="39" t="s">
        <v>107</v>
      </c>
      <c r="C139" s="43" t="s">
        <v>115</v>
      </c>
      <c r="D139" s="40">
        <v>611021</v>
      </c>
      <c r="E139" s="40">
        <v>1113</v>
      </c>
      <c r="F139" s="39" t="s">
        <v>133</v>
      </c>
      <c r="G139" s="39" t="s">
        <v>12</v>
      </c>
      <c r="H139" s="53">
        <v>1</v>
      </c>
      <c r="I139" s="52">
        <v>333.35</v>
      </c>
      <c r="J139" s="42">
        <f t="shared" si="5"/>
        <v>333.35</v>
      </c>
      <c r="K139" s="39">
        <v>333.35</v>
      </c>
    </row>
    <row r="140" spans="1:11">
      <c r="A140" s="40">
        <v>9</v>
      </c>
      <c r="B140" s="39" t="s">
        <v>107</v>
      </c>
      <c r="C140" s="43" t="s">
        <v>115</v>
      </c>
      <c r="D140" s="40">
        <v>611021</v>
      </c>
      <c r="E140" s="40">
        <v>1113</v>
      </c>
      <c r="F140" s="39" t="s">
        <v>59</v>
      </c>
      <c r="G140" s="39" t="s">
        <v>12</v>
      </c>
      <c r="H140" s="53">
        <v>1</v>
      </c>
      <c r="I140" s="52">
        <v>1221.6500000000001</v>
      </c>
      <c r="J140" s="42">
        <f t="shared" si="5"/>
        <v>1221.6500000000001</v>
      </c>
      <c r="K140" s="39">
        <v>1221.6500000000001</v>
      </c>
    </row>
    <row r="141" spans="1:11">
      <c r="A141" s="40">
        <v>10</v>
      </c>
      <c r="B141" s="39" t="s">
        <v>107</v>
      </c>
      <c r="C141" s="43" t="s">
        <v>115</v>
      </c>
      <c r="D141" s="40">
        <v>611021</v>
      </c>
      <c r="E141" s="40">
        <v>1114</v>
      </c>
      <c r="F141" s="39" t="s">
        <v>179</v>
      </c>
      <c r="G141" s="39" t="s">
        <v>12</v>
      </c>
      <c r="H141" s="53">
        <v>3</v>
      </c>
      <c r="I141" s="52">
        <v>123</v>
      </c>
      <c r="J141" s="42">
        <f t="shared" si="5"/>
        <v>369</v>
      </c>
      <c r="K141" s="39">
        <v>369</v>
      </c>
    </row>
    <row r="142" spans="1:11">
      <c r="A142" s="40">
        <v>11</v>
      </c>
      <c r="B142" s="39" t="s">
        <v>107</v>
      </c>
      <c r="C142" s="43" t="s">
        <v>115</v>
      </c>
      <c r="D142" s="40">
        <v>611021</v>
      </c>
      <c r="E142" s="40">
        <v>1114</v>
      </c>
      <c r="F142" s="39" t="s">
        <v>200</v>
      </c>
      <c r="G142" s="39" t="s">
        <v>12</v>
      </c>
      <c r="H142" s="53">
        <v>3</v>
      </c>
      <c r="I142" s="52">
        <v>420</v>
      </c>
      <c r="J142" s="42">
        <f t="shared" si="5"/>
        <v>1260</v>
      </c>
      <c r="K142" s="39">
        <v>1260</v>
      </c>
    </row>
    <row r="143" spans="1:11">
      <c r="A143" s="40">
        <v>12</v>
      </c>
      <c r="B143" s="39" t="s">
        <v>107</v>
      </c>
      <c r="C143" s="43" t="s">
        <v>115</v>
      </c>
      <c r="D143" s="40">
        <v>611021</v>
      </c>
      <c r="E143" s="40">
        <v>1114</v>
      </c>
      <c r="F143" s="39" t="s">
        <v>25</v>
      </c>
      <c r="G143" s="39" t="s">
        <v>12</v>
      </c>
      <c r="H143" s="53">
        <v>3</v>
      </c>
      <c r="I143" s="52">
        <v>195</v>
      </c>
      <c r="J143" s="42">
        <f t="shared" si="5"/>
        <v>585</v>
      </c>
      <c r="K143" s="39">
        <v>585</v>
      </c>
    </row>
    <row r="144" spans="1:11">
      <c r="A144" s="40">
        <v>13</v>
      </c>
      <c r="B144" s="39" t="s">
        <v>107</v>
      </c>
      <c r="C144" s="43" t="s">
        <v>127</v>
      </c>
      <c r="D144" s="40">
        <v>611021</v>
      </c>
      <c r="E144" s="40" t="s">
        <v>134</v>
      </c>
      <c r="F144" s="39" t="s">
        <v>190</v>
      </c>
      <c r="G144" s="39" t="s">
        <v>12</v>
      </c>
      <c r="H144" s="53">
        <v>16</v>
      </c>
      <c r="I144" s="52">
        <v>34.75</v>
      </c>
      <c r="J144" s="42">
        <f t="shared" ref="J144:J153" si="6">H144*I144</f>
        <v>556</v>
      </c>
      <c r="K144" s="39">
        <v>556</v>
      </c>
    </row>
    <row r="145" spans="1:11">
      <c r="A145" s="40">
        <v>14</v>
      </c>
      <c r="B145" s="39" t="s">
        <v>107</v>
      </c>
      <c r="C145" s="43" t="s">
        <v>115</v>
      </c>
      <c r="D145" s="40">
        <v>613230</v>
      </c>
      <c r="E145" s="40" t="s">
        <v>11</v>
      </c>
      <c r="F145" s="39" t="s">
        <v>367</v>
      </c>
      <c r="G145" s="39" t="s">
        <v>391</v>
      </c>
      <c r="H145" s="53">
        <v>10</v>
      </c>
      <c r="I145" s="52">
        <v>392.94</v>
      </c>
      <c r="J145" s="42">
        <f t="shared" si="6"/>
        <v>3929.4</v>
      </c>
      <c r="K145" s="39">
        <v>3929.4</v>
      </c>
    </row>
    <row r="146" spans="1:11">
      <c r="A146" s="40">
        <v>15</v>
      </c>
      <c r="B146" s="39" t="s">
        <v>107</v>
      </c>
      <c r="C146" s="43" t="s">
        <v>115</v>
      </c>
      <c r="D146" s="40">
        <v>613230</v>
      </c>
      <c r="E146" s="40" t="s">
        <v>11</v>
      </c>
      <c r="F146" s="39" t="s">
        <v>366</v>
      </c>
      <c r="G146" s="39" t="s">
        <v>23</v>
      </c>
      <c r="H146" s="53">
        <v>30</v>
      </c>
      <c r="I146" s="52">
        <v>25.08</v>
      </c>
      <c r="J146" s="42">
        <f t="shared" si="6"/>
        <v>752.4</v>
      </c>
      <c r="K146" s="39">
        <v>752.4</v>
      </c>
    </row>
    <row r="147" spans="1:11">
      <c r="A147" s="40">
        <v>16</v>
      </c>
      <c r="B147" s="39" t="s">
        <v>107</v>
      </c>
      <c r="C147" s="43" t="s">
        <v>115</v>
      </c>
      <c r="D147" s="40">
        <v>613230</v>
      </c>
      <c r="E147" s="40" t="s">
        <v>11</v>
      </c>
      <c r="F147" s="39" t="s">
        <v>19</v>
      </c>
      <c r="G147" s="39" t="s">
        <v>12</v>
      </c>
      <c r="H147" s="53">
        <v>16</v>
      </c>
      <c r="I147" s="52">
        <v>122.22</v>
      </c>
      <c r="J147" s="42">
        <f t="shared" si="6"/>
        <v>1955.52</v>
      </c>
      <c r="K147" s="39">
        <v>1955.52</v>
      </c>
    </row>
    <row r="148" spans="1:11">
      <c r="A148" s="40">
        <v>17</v>
      </c>
      <c r="B148" s="39" t="s">
        <v>107</v>
      </c>
      <c r="C148" s="43" t="s">
        <v>115</v>
      </c>
      <c r="D148" s="40">
        <v>613230</v>
      </c>
      <c r="E148" s="40" t="s">
        <v>11</v>
      </c>
      <c r="F148" s="39" t="s">
        <v>389</v>
      </c>
      <c r="G148" s="39" t="s">
        <v>12</v>
      </c>
      <c r="H148" s="53">
        <v>3</v>
      </c>
      <c r="I148" s="52">
        <v>82.74</v>
      </c>
      <c r="J148" s="42">
        <f t="shared" si="6"/>
        <v>248.21999999999997</v>
      </c>
      <c r="K148" s="39">
        <v>248.22</v>
      </c>
    </row>
    <row r="149" spans="1:11">
      <c r="A149" s="40">
        <v>18</v>
      </c>
      <c r="B149" s="39" t="s">
        <v>107</v>
      </c>
      <c r="C149" s="43" t="s">
        <v>115</v>
      </c>
      <c r="D149" s="40">
        <v>611021</v>
      </c>
      <c r="E149" s="40">
        <v>1113</v>
      </c>
      <c r="F149" s="39" t="s">
        <v>61</v>
      </c>
      <c r="G149" s="39" t="s">
        <v>12</v>
      </c>
      <c r="H149" s="53">
        <v>2</v>
      </c>
      <c r="I149" s="52">
        <v>1443.88</v>
      </c>
      <c r="J149" s="42">
        <f t="shared" si="6"/>
        <v>2887.76</v>
      </c>
      <c r="K149" s="39">
        <v>2887.76</v>
      </c>
    </row>
    <row r="150" spans="1:11">
      <c r="A150" s="40">
        <v>19</v>
      </c>
      <c r="B150" s="39" t="s">
        <v>107</v>
      </c>
      <c r="C150" s="43" t="s">
        <v>115</v>
      </c>
      <c r="D150" s="40">
        <v>611021</v>
      </c>
      <c r="E150" s="40">
        <v>1113</v>
      </c>
      <c r="F150" s="39" t="s">
        <v>362</v>
      </c>
      <c r="G150" s="39" t="s">
        <v>12</v>
      </c>
      <c r="H150" s="53">
        <v>1</v>
      </c>
      <c r="I150" s="52">
        <v>29763.56</v>
      </c>
      <c r="J150" s="42">
        <f t="shared" si="6"/>
        <v>29763.56</v>
      </c>
      <c r="K150" s="39">
        <v>29763.56</v>
      </c>
    </row>
    <row r="151" spans="1:11">
      <c r="A151" s="40">
        <v>20</v>
      </c>
      <c r="B151" s="39" t="s">
        <v>107</v>
      </c>
      <c r="C151" s="43" t="s">
        <v>115</v>
      </c>
      <c r="D151" s="40">
        <v>611021</v>
      </c>
      <c r="E151" s="40">
        <v>1113</v>
      </c>
      <c r="F151" s="39" t="s">
        <v>390</v>
      </c>
      <c r="G151" s="39" t="s">
        <v>12</v>
      </c>
      <c r="H151" s="53">
        <v>1</v>
      </c>
      <c r="I151" s="52">
        <v>720</v>
      </c>
      <c r="J151" s="42">
        <f t="shared" si="6"/>
        <v>720</v>
      </c>
      <c r="K151" s="39">
        <v>720</v>
      </c>
    </row>
    <row r="152" spans="1:11">
      <c r="A152" s="40">
        <v>21</v>
      </c>
      <c r="B152" s="39" t="s">
        <v>107</v>
      </c>
      <c r="C152" s="43" t="s">
        <v>115</v>
      </c>
      <c r="D152" s="40">
        <v>611021</v>
      </c>
      <c r="E152" s="40">
        <v>1113</v>
      </c>
      <c r="F152" s="39" t="s">
        <v>363</v>
      </c>
      <c r="G152" s="39" t="s">
        <v>12</v>
      </c>
      <c r="H152" s="53">
        <v>3</v>
      </c>
      <c r="I152" s="52">
        <v>1030</v>
      </c>
      <c r="J152" s="42">
        <f t="shared" si="6"/>
        <v>3090</v>
      </c>
      <c r="K152" s="39">
        <v>3090</v>
      </c>
    </row>
    <row r="153" spans="1:11">
      <c r="A153" s="40">
        <v>22</v>
      </c>
      <c r="B153" s="39" t="s">
        <v>107</v>
      </c>
      <c r="C153" s="43" t="s">
        <v>361</v>
      </c>
      <c r="D153" s="40">
        <v>613242</v>
      </c>
      <c r="E153" s="40" t="s">
        <v>125</v>
      </c>
      <c r="F153" s="39" t="s">
        <v>71</v>
      </c>
      <c r="G153" s="39" t="s">
        <v>27</v>
      </c>
      <c r="H153" s="53">
        <v>1.6</v>
      </c>
      <c r="I153" s="52">
        <v>33.14</v>
      </c>
      <c r="J153" s="42">
        <f t="shared" si="6"/>
        <v>53.024000000000001</v>
      </c>
      <c r="K153" s="39">
        <v>53.02</v>
      </c>
    </row>
    <row r="154" spans="1:11">
      <c r="A154" s="40">
        <v>23</v>
      </c>
      <c r="B154" s="39" t="s">
        <v>107</v>
      </c>
      <c r="C154" s="43" t="s">
        <v>361</v>
      </c>
      <c r="D154" s="40">
        <v>613242</v>
      </c>
      <c r="E154" s="40" t="s">
        <v>125</v>
      </c>
      <c r="F154" s="39" t="s">
        <v>70</v>
      </c>
      <c r="G154" s="39" t="s">
        <v>21</v>
      </c>
      <c r="H154" s="53">
        <f>6+2</f>
        <v>8</v>
      </c>
      <c r="I154" s="52"/>
      <c r="J154" s="42">
        <f>270+135.8</f>
        <v>405.8</v>
      </c>
      <c r="K154" s="39">
        <v>405.8</v>
      </c>
    </row>
    <row r="155" spans="1:11">
      <c r="A155" s="40">
        <v>24</v>
      </c>
      <c r="B155" s="39" t="s">
        <v>107</v>
      </c>
      <c r="C155" s="43" t="s">
        <v>361</v>
      </c>
      <c r="D155" s="40">
        <v>613242</v>
      </c>
      <c r="E155" s="40" t="s">
        <v>134</v>
      </c>
      <c r="F155" s="39" t="s">
        <v>142</v>
      </c>
      <c r="G155" s="39" t="s">
        <v>12</v>
      </c>
      <c r="H155" s="53">
        <v>100</v>
      </c>
      <c r="I155" s="52">
        <v>3.45</v>
      </c>
      <c r="J155" s="42">
        <v>345</v>
      </c>
      <c r="K155" s="39">
        <v>345</v>
      </c>
    </row>
    <row r="156" spans="1:11">
      <c r="A156" s="40">
        <v>25</v>
      </c>
      <c r="B156" s="39" t="s">
        <v>107</v>
      </c>
      <c r="C156" s="43" t="s">
        <v>361</v>
      </c>
      <c r="D156" s="40">
        <v>613242</v>
      </c>
      <c r="E156" s="40" t="s">
        <v>134</v>
      </c>
      <c r="F156" s="39" t="s">
        <v>234</v>
      </c>
      <c r="G156" s="39" t="s">
        <v>12</v>
      </c>
      <c r="H156" s="53">
        <v>100</v>
      </c>
      <c r="I156" s="52">
        <v>1.77</v>
      </c>
      <c r="J156" s="42">
        <f t="shared" si="5"/>
        <v>177</v>
      </c>
      <c r="K156" s="39">
        <v>177</v>
      </c>
    </row>
    <row r="157" spans="1:11">
      <c r="A157" s="40">
        <v>26</v>
      </c>
      <c r="B157" s="39" t="s">
        <v>107</v>
      </c>
      <c r="C157" s="43" t="s">
        <v>361</v>
      </c>
      <c r="D157" s="40">
        <v>613242</v>
      </c>
      <c r="E157" s="40" t="s">
        <v>125</v>
      </c>
      <c r="F157" s="39" t="s">
        <v>353</v>
      </c>
      <c r="G157" s="39" t="s">
        <v>12</v>
      </c>
      <c r="H157" s="53">
        <f>3+4</f>
        <v>7</v>
      </c>
      <c r="I157" s="52"/>
      <c r="J157" s="42">
        <f>389.7+519.6</f>
        <v>909.3</v>
      </c>
      <c r="K157" s="39">
        <v>909.3</v>
      </c>
    </row>
    <row r="158" spans="1:11">
      <c r="A158" s="40">
        <v>27</v>
      </c>
      <c r="B158" s="39" t="s">
        <v>107</v>
      </c>
      <c r="C158" s="43" t="s">
        <v>127</v>
      </c>
      <c r="D158" s="40">
        <v>613242</v>
      </c>
      <c r="E158" s="40" t="s">
        <v>134</v>
      </c>
      <c r="F158" s="39" t="s">
        <v>388</v>
      </c>
      <c r="G158" s="39" t="s">
        <v>12</v>
      </c>
      <c r="H158" s="53">
        <v>5</v>
      </c>
      <c r="I158" s="52">
        <v>100.59</v>
      </c>
      <c r="J158" s="42">
        <f t="shared" si="5"/>
        <v>502.95000000000005</v>
      </c>
      <c r="K158" s="39">
        <v>502.95</v>
      </c>
    </row>
    <row r="159" spans="1:11">
      <c r="A159" s="40">
        <v>28</v>
      </c>
      <c r="B159" s="39" t="s">
        <v>107</v>
      </c>
      <c r="C159" s="43" t="s">
        <v>127</v>
      </c>
      <c r="D159" s="40">
        <v>613242</v>
      </c>
      <c r="E159" s="40" t="s">
        <v>125</v>
      </c>
      <c r="F159" s="39" t="s">
        <v>322</v>
      </c>
      <c r="G159" s="39" t="s">
        <v>12</v>
      </c>
      <c r="H159" s="53">
        <v>6</v>
      </c>
      <c r="I159" s="52">
        <v>72</v>
      </c>
      <c r="J159" s="42">
        <f t="shared" si="5"/>
        <v>432</v>
      </c>
      <c r="K159" s="39">
        <v>432</v>
      </c>
    </row>
    <row r="160" spans="1:11">
      <c r="A160" s="40">
        <v>29</v>
      </c>
      <c r="B160" s="39" t="s">
        <v>107</v>
      </c>
      <c r="C160" s="43" t="s">
        <v>127</v>
      </c>
      <c r="D160" s="40">
        <v>613242</v>
      </c>
      <c r="E160" s="40" t="s">
        <v>11</v>
      </c>
      <c r="F160" s="39" t="s">
        <v>62</v>
      </c>
      <c r="G160" s="39" t="s">
        <v>12</v>
      </c>
      <c r="H160" s="53">
        <f>53+50+6</f>
        <v>109</v>
      </c>
      <c r="I160" s="52"/>
      <c r="J160" s="42">
        <f>7897+7450+750</f>
        <v>16097</v>
      </c>
      <c r="K160" s="39">
        <v>16097</v>
      </c>
    </row>
    <row r="161" spans="1:11">
      <c r="A161" s="40">
        <v>30</v>
      </c>
      <c r="B161" s="39" t="s">
        <v>107</v>
      </c>
      <c r="C161" s="43" t="s">
        <v>127</v>
      </c>
      <c r="D161" s="40">
        <v>613242</v>
      </c>
      <c r="E161" s="40" t="s">
        <v>125</v>
      </c>
      <c r="F161" s="39" t="s">
        <v>392</v>
      </c>
      <c r="G161" s="39" t="s">
        <v>27</v>
      </c>
      <c r="H161" s="53">
        <v>4</v>
      </c>
      <c r="I161" s="52">
        <v>67.2</v>
      </c>
      <c r="J161" s="42">
        <v>268.8</v>
      </c>
      <c r="K161" s="39">
        <v>268.8</v>
      </c>
    </row>
    <row r="162" spans="1:11">
      <c r="A162" s="40">
        <v>31</v>
      </c>
      <c r="B162" s="39" t="s">
        <v>107</v>
      </c>
      <c r="C162" s="43" t="s">
        <v>127</v>
      </c>
      <c r="D162" s="40">
        <v>613242</v>
      </c>
      <c r="E162" s="40" t="s">
        <v>134</v>
      </c>
      <c r="F162" s="39" t="s">
        <v>129</v>
      </c>
      <c r="G162" s="39" t="s">
        <v>12</v>
      </c>
      <c r="H162" s="53">
        <v>8</v>
      </c>
      <c r="I162" s="52">
        <v>31.8</v>
      </c>
      <c r="J162" s="42">
        <v>254.4</v>
      </c>
      <c r="K162" s="39">
        <v>254.4</v>
      </c>
    </row>
    <row r="163" spans="1:11">
      <c r="A163" s="40">
        <v>32</v>
      </c>
      <c r="B163" s="39" t="s">
        <v>107</v>
      </c>
      <c r="C163" s="43" t="s">
        <v>127</v>
      </c>
      <c r="D163" s="40">
        <v>613242</v>
      </c>
      <c r="E163" s="40" t="s">
        <v>134</v>
      </c>
      <c r="F163" s="39" t="s">
        <v>128</v>
      </c>
      <c r="G163" s="39" t="s">
        <v>12</v>
      </c>
      <c r="H163" s="53">
        <v>107</v>
      </c>
      <c r="I163" s="52">
        <v>18.75</v>
      </c>
      <c r="J163" s="42">
        <v>2006.25</v>
      </c>
      <c r="K163" s="39">
        <v>2006.25</v>
      </c>
    </row>
    <row r="164" spans="1:11">
      <c r="A164" s="40">
        <v>33</v>
      </c>
      <c r="B164" s="39" t="s">
        <v>107</v>
      </c>
      <c r="C164" s="43" t="s">
        <v>127</v>
      </c>
      <c r="D164" s="40">
        <v>613242</v>
      </c>
      <c r="E164" s="40" t="s">
        <v>134</v>
      </c>
      <c r="F164" s="39" t="s">
        <v>110</v>
      </c>
      <c r="G164" s="39" t="s">
        <v>12</v>
      </c>
      <c r="H164" s="53">
        <v>7</v>
      </c>
      <c r="I164" s="52">
        <v>53.17</v>
      </c>
      <c r="J164" s="42">
        <v>372.19</v>
      </c>
      <c r="K164" s="39">
        <v>372.19</v>
      </c>
    </row>
    <row r="165" spans="1:11">
      <c r="A165" s="40">
        <v>34</v>
      </c>
      <c r="B165" s="39" t="s">
        <v>107</v>
      </c>
      <c r="C165" s="43" t="s">
        <v>127</v>
      </c>
      <c r="D165" s="40">
        <v>613242</v>
      </c>
      <c r="E165" s="40">
        <v>1113</v>
      </c>
      <c r="F165" s="39" t="s">
        <v>133</v>
      </c>
      <c r="G165" s="39" t="s">
        <v>12</v>
      </c>
      <c r="H165" s="53">
        <v>4</v>
      </c>
      <c r="I165" s="52">
        <v>899</v>
      </c>
      <c r="J165" s="42">
        <v>3596</v>
      </c>
      <c r="K165" s="39">
        <v>3596</v>
      </c>
    </row>
    <row r="166" spans="1:11">
      <c r="A166" s="40">
        <v>35</v>
      </c>
      <c r="B166" s="39" t="s">
        <v>107</v>
      </c>
      <c r="C166" s="43" t="s">
        <v>127</v>
      </c>
      <c r="D166" s="40">
        <v>613242</v>
      </c>
      <c r="E166" s="40" t="s">
        <v>125</v>
      </c>
      <c r="F166" s="39" t="s">
        <v>374</v>
      </c>
      <c r="G166" s="39" t="s">
        <v>12</v>
      </c>
      <c r="H166" s="53">
        <v>5</v>
      </c>
      <c r="I166" s="52">
        <v>103.2</v>
      </c>
      <c r="J166" s="42">
        <v>516</v>
      </c>
      <c r="K166" s="39">
        <v>516</v>
      </c>
    </row>
    <row r="167" spans="1:11">
      <c r="A167" s="40">
        <v>36</v>
      </c>
      <c r="B167" s="39" t="s">
        <v>107</v>
      </c>
      <c r="C167" s="43" t="s">
        <v>127</v>
      </c>
      <c r="D167" s="40">
        <v>613242</v>
      </c>
      <c r="E167" s="40" t="s">
        <v>125</v>
      </c>
      <c r="F167" s="39" t="s">
        <v>351</v>
      </c>
      <c r="G167" s="39" t="s">
        <v>12</v>
      </c>
      <c r="H167" s="53">
        <v>6</v>
      </c>
      <c r="I167" s="52">
        <v>42.51</v>
      </c>
      <c r="J167" s="42">
        <v>255.06</v>
      </c>
      <c r="K167" s="39">
        <v>255.06</v>
      </c>
    </row>
    <row r="168" spans="1:11">
      <c r="A168" s="45"/>
      <c r="B168" s="46"/>
      <c r="C168" s="47"/>
      <c r="D168" s="45"/>
      <c r="E168" s="45"/>
      <c r="F168" s="46" t="s">
        <v>14</v>
      </c>
      <c r="G168" s="46"/>
      <c r="H168" s="48"/>
      <c r="I168" s="49"/>
      <c r="J168" s="49">
        <f>SUM(J132:J167)</f>
        <v>89798.544000000009</v>
      </c>
      <c r="K168" s="46">
        <f>SUM(K132:K167)</f>
        <v>89798.540000000008</v>
      </c>
    </row>
    <row r="169" spans="1:11">
      <c r="A169" s="50">
        <v>1</v>
      </c>
      <c r="B169" s="51" t="s">
        <v>46</v>
      </c>
      <c r="C169" s="43" t="s">
        <v>343</v>
      </c>
      <c r="D169" s="40">
        <v>611021</v>
      </c>
      <c r="E169" s="40">
        <v>1112</v>
      </c>
      <c r="F169" s="39" t="s">
        <v>344</v>
      </c>
      <c r="G169" s="39" t="s">
        <v>12</v>
      </c>
      <c r="H169" s="41">
        <v>100</v>
      </c>
      <c r="I169" s="42">
        <v>107.99</v>
      </c>
      <c r="J169" s="42">
        <f>H169*I169</f>
        <v>10799</v>
      </c>
      <c r="K169" s="51">
        <v>10799</v>
      </c>
    </row>
    <row r="170" spans="1:11">
      <c r="A170" s="45"/>
      <c r="B170" s="46"/>
      <c r="C170" s="47"/>
      <c r="D170" s="45"/>
      <c r="E170" s="45"/>
      <c r="F170" s="46" t="s">
        <v>14</v>
      </c>
      <c r="G170" s="46"/>
      <c r="H170" s="48"/>
      <c r="I170" s="49"/>
      <c r="J170" s="49">
        <f>SUM(J169)</f>
        <v>10799</v>
      </c>
      <c r="K170" s="46"/>
    </row>
    <row r="171" spans="1:11">
      <c r="A171" s="40">
        <v>1</v>
      </c>
      <c r="B171" s="39" t="s">
        <v>87</v>
      </c>
      <c r="C171" s="43" t="s">
        <v>361</v>
      </c>
      <c r="D171" s="40">
        <v>613242</v>
      </c>
      <c r="E171" s="40" t="s">
        <v>125</v>
      </c>
      <c r="F171" s="39" t="s">
        <v>70</v>
      </c>
      <c r="G171" s="39" t="s">
        <v>12</v>
      </c>
      <c r="H171" s="41">
        <f>8+3</f>
        <v>11</v>
      </c>
      <c r="I171" s="42"/>
      <c r="J171" s="42">
        <f>400+135</f>
        <v>535</v>
      </c>
      <c r="K171" s="39">
        <v>535</v>
      </c>
    </row>
    <row r="172" spans="1:11">
      <c r="A172" s="40">
        <v>2</v>
      </c>
      <c r="B172" s="39" t="s">
        <v>87</v>
      </c>
      <c r="C172" s="43" t="s">
        <v>361</v>
      </c>
      <c r="D172" s="40">
        <v>613242</v>
      </c>
      <c r="E172" s="40" t="s">
        <v>134</v>
      </c>
      <c r="F172" s="39" t="s">
        <v>142</v>
      </c>
      <c r="G172" s="39" t="s">
        <v>12</v>
      </c>
      <c r="H172" s="41">
        <v>150</v>
      </c>
      <c r="I172" s="42">
        <v>1</v>
      </c>
      <c r="J172" s="42">
        <f t="shared" ref="J172:J181" si="7">H172*I172</f>
        <v>150</v>
      </c>
      <c r="K172" s="39">
        <v>150</v>
      </c>
    </row>
    <row r="173" spans="1:11">
      <c r="A173" s="40">
        <v>3</v>
      </c>
      <c r="B173" s="39" t="s">
        <v>87</v>
      </c>
      <c r="C173" s="43" t="s">
        <v>361</v>
      </c>
      <c r="D173" s="40">
        <v>613242</v>
      </c>
      <c r="E173" s="40" t="s">
        <v>134</v>
      </c>
      <c r="F173" s="56" t="s">
        <v>234</v>
      </c>
      <c r="G173" s="39" t="s">
        <v>12</v>
      </c>
      <c r="H173" s="41">
        <v>100</v>
      </c>
      <c r="I173" s="42">
        <v>1</v>
      </c>
      <c r="J173" s="42">
        <f t="shared" si="7"/>
        <v>100</v>
      </c>
      <c r="K173" s="39">
        <v>100</v>
      </c>
    </row>
    <row r="174" spans="1:11">
      <c r="A174" s="40">
        <v>4</v>
      </c>
      <c r="B174" s="39" t="s">
        <v>87</v>
      </c>
      <c r="C174" s="43" t="s">
        <v>361</v>
      </c>
      <c r="D174" s="40">
        <v>613242</v>
      </c>
      <c r="E174" s="40" t="s">
        <v>125</v>
      </c>
      <c r="F174" s="39" t="s">
        <v>353</v>
      </c>
      <c r="G174" s="39" t="s">
        <v>12</v>
      </c>
      <c r="H174" s="41">
        <f>4+4</f>
        <v>8</v>
      </c>
      <c r="I174" s="42"/>
      <c r="J174" s="42">
        <f>480+480</f>
        <v>960</v>
      </c>
      <c r="K174" s="39">
        <v>960</v>
      </c>
    </row>
    <row r="175" spans="1:11">
      <c r="A175" s="40">
        <v>5</v>
      </c>
      <c r="B175" s="39" t="s">
        <v>87</v>
      </c>
      <c r="C175" s="43" t="s">
        <v>115</v>
      </c>
      <c r="D175" s="40">
        <v>613242</v>
      </c>
      <c r="E175" s="40" t="s">
        <v>134</v>
      </c>
      <c r="F175" s="39" t="s">
        <v>372</v>
      </c>
      <c r="G175" s="39" t="s">
        <v>12</v>
      </c>
      <c r="H175" s="41">
        <v>7</v>
      </c>
      <c r="I175" s="42">
        <v>75</v>
      </c>
      <c r="J175" s="42">
        <f t="shared" si="7"/>
        <v>525</v>
      </c>
      <c r="K175" s="39">
        <v>525</v>
      </c>
    </row>
    <row r="176" spans="1:11">
      <c r="A176" s="40">
        <v>6</v>
      </c>
      <c r="B176" s="39" t="s">
        <v>87</v>
      </c>
      <c r="C176" s="43" t="s">
        <v>115</v>
      </c>
      <c r="D176" s="40">
        <v>611021</v>
      </c>
      <c r="E176" s="40">
        <v>1114</v>
      </c>
      <c r="F176" s="39" t="s">
        <v>200</v>
      </c>
      <c r="G176" s="39" t="s">
        <v>12</v>
      </c>
      <c r="H176" s="41">
        <v>5</v>
      </c>
      <c r="I176" s="42">
        <v>420</v>
      </c>
      <c r="J176" s="42">
        <f t="shared" si="7"/>
        <v>2100</v>
      </c>
      <c r="K176" s="39">
        <v>2100</v>
      </c>
    </row>
    <row r="177" spans="1:11">
      <c r="A177" s="40">
        <v>7</v>
      </c>
      <c r="B177" s="39" t="s">
        <v>87</v>
      </c>
      <c r="C177" s="43" t="s">
        <v>115</v>
      </c>
      <c r="D177" s="40">
        <v>613242</v>
      </c>
      <c r="E177" s="40" t="s">
        <v>134</v>
      </c>
      <c r="F177" s="39" t="s">
        <v>371</v>
      </c>
      <c r="G177" s="39" t="s">
        <v>12</v>
      </c>
      <c r="H177" s="53">
        <v>28</v>
      </c>
      <c r="I177" s="52">
        <v>37.5</v>
      </c>
      <c r="J177" s="42">
        <f t="shared" si="7"/>
        <v>1050</v>
      </c>
      <c r="K177" s="39">
        <v>1050</v>
      </c>
    </row>
    <row r="178" spans="1:11">
      <c r="A178" s="40">
        <v>8</v>
      </c>
      <c r="B178" s="39" t="s">
        <v>87</v>
      </c>
      <c r="C178" s="43" t="s">
        <v>115</v>
      </c>
      <c r="D178" s="40">
        <v>611021</v>
      </c>
      <c r="E178" s="40">
        <v>1113</v>
      </c>
      <c r="F178" s="55" t="s">
        <v>393</v>
      </c>
      <c r="G178" s="39" t="s">
        <v>12</v>
      </c>
      <c r="H178" s="53">
        <v>1</v>
      </c>
      <c r="I178" s="52">
        <v>5416.65</v>
      </c>
      <c r="J178" s="42">
        <f t="shared" si="7"/>
        <v>5416.65</v>
      </c>
      <c r="K178" s="39">
        <v>5416.65</v>
      </c>
    </row>
    <row r="179" spans="1:11">
      <c r="A179" s="40">
        <v>9</v>
      </c>
      <c r="B179" s="39" t="s">
        <v>87</v>
      </c>
      <c r="C179" s="43" t="s">
        <v>115</v>
      </c>
      <c r="D179" s="40">
        <v>611021</v>
      </c>
      <c r="E179" s="40">
        <v>1113</v>
      </c>
      <c r="F179" s="39" t="s">
        <v>59</v>
      </c>
      <c r="G179" s="39" t="s">
        <v>12</v>
      </c>
      <c r="H179" s="53">
        <v>1</v>
      </c>
      <c r="I179" s="42">
        <v>1221.6500000000001</v>
      </c>
      <c r="J179" s="42">
        <f t="shared" si="7"/>
        <v>1221.6500000000001</v>
      </c>
      <c r="K179" s="39">
        <v>1221.6500000000001</v>
      </c>
    </row>
    <row r="180" spans="1:11">
      <c r="A180" s="40">
        <v>10</v>
      </c>
      <c r="B180" s="39" t="s">
        <v>87</v>
      </c>
      <c r="C180" s="43" t="s">
        <v>115</v>
      </c>
      <c r="D180" s="40">
        <v>611021</v>
      </c>
      <c r="E180" s="40">
        <v>1113</v>
      </c>
      <c r="F180" s="39" t="s">
        <v>370</v>
      </c>
      <c r="G180" s="39" t="s">
        <v>146</v>
      </c>
      <c r="H180" s="41">
        <v>1</v>
      </c>
      <c r="I180" s="42">
        <v>348.35</v>
      </c>
      <c r="J180" s="42">
        <f t="shared" si="7"/>
        <v>348.35</v>
      </c>
      <c r="K180" s="39">
        <v>348.35</v>
      </c>
    </row>
    <row r="181" spans="1:11">
      <c r="A181" s="40">
        <v>11</v>
      </c>
      <c r="B181" s="39" t="s">
        <v>87</v>
      </c>
      <c r="C181" s="43" t="s">
        <v>115</v>
      </c>
      <c r="D181" s="40">
        <v>611021</v>
      </c>
      <c r="E181" s="40">
        <v>1113</v>
      </c>
      <c r="F181" s="39" t="s">
        <v>369</v>
      </c>
      <c r="G181" s="39" t="s">
        <v>146</v>
      </c>
      <c r="H181" s="41">
        <v>3</v>
      </c>
      <c r="I181" s="42">
        <v>2860</v>
      </c>
      <c r="J181" s="42">
        <f t="shared" si="7"/>
        <v>8580</v>
      </c>
      <c r="K181" s="39">
        <v>8580</v>
      </c>
    </row>
    <row r="182" spans="1:11">
      <c r="A182" s="40">
        <v>12</v>
      </c>
      <c r="B182" s="39" t="s">
        <v>87</v>
      </c>
      <c r="C182" s="43" t="s">
        <v>115</v>
      </c>
      <c r="D182" s="40">
        <v>611021</v>
      </c>
      <c r="E182" s="40">
        <v>1114</v>
      </c>
      <c r="F182" s="39" t="s">
        <v>179</v>
      </c>
      <c r="G182" s="39" t="s">
        <v>12</v>
      </c>
      <c r="H182" s="41">
        <v>5</v>
      </c>
      <c r="I182" s="42">
        <v>123</v>
      </c>
      <c r="J182" s="42">
        <f t="shared" ref="J182:J187" si="8">H182*I182</f>
        <v>615</v>
      </c>
      <c r="K182" s="39">
        <v>615</v>
      </c>
    </row>
    <row r="183" spans="1:11">
      <c r="A183" s="40">
        <v>13</v>
      </c>
      <c r="B183" s="39" t="s">
        <v>87</v>
      </c>
      <c r="C183" s="43" t="s">
        <v>115</v>
      </c>
      <c r="D183" s="40">
        <v>611021</v>
      </c>
      <c r="E183" s="40">
        <v>1113</v>
      </c>
      <c r="F183" s="39" t="s">
        <v>58</v>
      </c>
      <c r="G183" s="39"/>
      <c r="H183" s="41">
        <v>1</v>
      </c>
      <c r="I183" s="42">
        <v>2499.21</v>
      </c>
      <c r="J183" s="42">
        <f t="shared" si="8"/>
        <v>2499.21</v>
      </c>
      <c r="K183" s="39">
        <v>2499.21</v>
      </c>
    </row>
    <row r="184" spans="1:11">
      <c r="A184" s="40">
        <v>14</v>
      </c>
      <c r="B184" s="39" t="s">
        <v>87</v>
      </c>
      <c r="C184" s="43" t="s">
        <v>115</v>
      </c>
      <c r="D184" s="40">
        <v>611021</v>
      </c>
      <c r="E184" s="40">
        <v>1113</v>
      </c>
      <c r="F184" s="39" t="s">
        <v>368</v>
      </c>
      <c r="G184" s="39"/>
      <c r="H184" s="41">
        <v>1</v>
      </c>
      <c r="I184" s="42">
        <v>1850</v>
      </c>
      <c r="J184" s="42">
        <f t="shared" si="8"/>
        <v>1850</v>
      </c>
      <c r="K184" s="39">
        <v>1850</v>
      </c>
    </row>
    <row r="185" spans="1:11">
      <c r="A185" s="40">
        <v>15</v>
      </c>
      <c r="B185" s="39" t="s">
        <v>87</v>
      </c>
      <c r="C185" s="43" t="s">
        <v>115</v>
      </c>
      <c r="D185" s="40">
        <v>611021</v>
      </c>
      <c r="E185" s="40">
        <v>1114</v>
      </c>
      <c r="F185" s="39" t="s">
        <v>25</v>
      </c>
      <c r="G185" s="39"/>
      <c r="H185" s="41">
        <v>5</v>
      </c>
      <c r="I185" s="42">
        <v>195</v>
      </c>
      <c r="J185" s="42">
        <f t="shared" si="8"/>
        <v>975</v>
      </c>
      <c r="K185" s="39">
        <v>975</v>
      </c>
    </row>
    <row r="186" spans="1:11">
      <c r="A186" s="40">
        <v>16</v>
      </c>
      <c r="B186" s="39" t="s">
        <v>87</v>
      </c>
      <c r="C186" s="43" t="s">
        <v>115</v>
      </c>
      <c r="D186" s="40">
        <v>611021</v>
      </c>
      <c r="E186" s="40">
        <v>1113</v>
      </c>
      <c r="F186" s="39" t="s">
        <v>91</v>
      </c>
      <c r="G186" s="39"/>
      <c r="H186" s="41">
        <v>1</v>
      </c>
      <c r="I186" s="42">
        <v>1083.3499999999999</v>
      </c>
      <c r="J186" s="42">
        <f t="shared" si="8"/>
        <v>1083.3499999999999</v>
      </c>
      <c r="K186" s="39">
        <v>1083.3499999999999</v>
      </c>
    </row>
    <row r="187" spans="1:11">
      <c r="A187" s="40">
        <v>17</v>
      </c>
      <c r="B187" s="39" t="s">
        <v>87</v>
      </c>
      <c r="C187" s="43" t="s">
        <v>115</v>
      </c>
      <c r="D187" s="40">
        <v>611021</v>
      </c>
      <c r="E187" s="40">
        <v>1113</v>
      </c>
      <c r="F187" s="39" t="s">
        <v>133</v>
      </c>
      <c r="G187" s="39"/>
      <c r="H187" s="41">
        <v>1</v>
      </c>
      <c r="I187" s="42">
        <v>333.35</v>
      </c>
      <c r="J187" s="42">
        <f t="shared" si="8"/>
        <v>333.35</v>
      </c>
      <c r="K187" s="39">
        <v>333.35</v>
      </c>
    </row>
    <row r="188" spans="1:11">
      <c r="A188" s="45"/>
      <c r="B188" s="46"/>
      <c r="C188" s="47"/>
      <c r="D188" s="45"/>
      <c r="E188" s="45"/>
      <c r="F188" s="46" t="s">
        <v>14</v>
      </c>
      <c r="G188" s="46"/>
      <c r="H188" s="48"/>
      <c r="I188" s="49"/>
      <c r="J188" s="49">
        <f>SUM(J171:J187)</f>
        <v>28342.559999999998</v>
      </c>
      <c r="K188" s="46">
        <f>SUM(K171:K187)</f>
        <v>28342.559999999998</v>
      </c>
    </row>
    <row r="189" spans="1:11">
      <c r="A189" s="50">
        <v>1</v>
      </c>
      <c r="B189" s="51" t="s">
        <v>48</v>
      </c>
      <c r="C189" s="43" t="s">
        <v>361</v>
      </c>
      <c r="D189" s="40">
        <v>613242</v>
      </c>
      <c r="E189" s="40" t="s">
        <v>125</v>
      </c>
      <c r="F189" s="39" t="s">
        <v>70</v>
      </c>
      <c r="G189" s="39" t="s">
        <v>12</v>
      </c>
      <c r="H189" s="41">
        <f>7+3</f>
        <v>10</v>
      </c>
      <c r="I189" s="42"/>
      <c r="J189" s="52">
        <f>149.8+155.1</f>
        <v>304.89999999999998</v>
      </c>
      <c r="K189" s="51">
        <v>304.89999999999998</v>
      </c>
    </row>
    <row r="190" spans="1:11">
      <c r="A190" s="50">
        <v>2</v>
      </c>
      <c r="B190" s="51" t="s">
        <v>48</v>
      </c>
      <c r="C190" s="43" t="s">
        <v>361</v>
      </c>
      <c r="D190" s="40">
        <v>613242</v>
      </c>
      <c r="E190" s="40" t="s">
        <v>134</v>
      </c>
      <c r="F190" s="39" t="s">
        <v>142</v>
      </c>
      <c r="G190" s="39" t="s">
        <v>12</v>
      </c>
      <c r="H190" s="41">
        <v>150</v>
      </c>
      <c r="I190" s="42">
        <v>0.37</v>
      </c>
      <c r="J190" s="52">
        <f t="shared" ref="J190:J211" si="9">H190*I190</f>
        <v>55.5</v>
      </c>
      <c r="K190" s="51">
        <v>55.5</v>
      </c>
    </row>
    <row r="191" spans="1:11">
      <c r="A191" s="50">
        <v>3</v>
      </c>
      <c r="B191" s="51" t="s">
        <v>48</v>
      </c>
      <c r="C191" s="43" t="s">
        <v>361</v>
      </c>
      <c r="D191" s="40">
        <v>613242</v>
      </c>
      <c r="E191" s="40" t="s">
        <v>134</v>
      </c>
      <c r="F191" s="39" t="s">
        <v>234</v>
      </c>
      <c r="G191" s="39" t="s">
        <v>12</v>
      </c>
      <c r="H191" s="53">
        <v>200</v>
      </c>
      <c r="I191" s="52">
        <v>2.35</v>
      </c>
      <c r="J191" s="52">
        <f t="shared" si="9"/>
        <v>470</v>
      </c>
      <c r="K191" s="51">
        <v>470</v>
      </c>
    </row>
    <row r="192" spans="1:11">
      <c r="A192" s="50">
        <v>4</v>
      </c>
      <c r="B192" s="51" t="s">
        <v>48</v>
      </c>
      <c r="C192" s="43" t="s">
        <v>361</v>
      </c>
      <c r="D192" s="40">
        <v>613242</v>
      </c>
      <c r="E192" s="40" t="s">
        <v>125</v>
      </c>
      <c r="F192" s="39" t="s">
        <v>353</v>
      </c>
      <c r="G192" s="39" t="s">
        <v>27</v>
      </c>
      <c r="H192" s="53">
        <f>3+4</f>
        <v>7</v>
      </c>
      <c r="I192" s="52">
        <v>129.9</v>
      </c>
      <c r="J192" s="52">
        <f t="shared" si="9"/>
        <v>909.30000000000007</v>
      </c>
      <c r="K192" s="51">
        <v>909.3</v>
      </c>
    </row>
    <row r="193" spans="1:11">
      <c r="A193" s="50">
        <v>5</v>
      </c>
      <c r="B193" s="51" t="s">
        <v>48</v>
      </c>
      <c r="C193" s="43" t="s">
        <v>361</v>
      </c>
      <c r="D193" s="40">
        <v>613242</v>
      </c>
      <c r="E193" s="40" t="s">
        <v>125</v>
      </c>
      <c r="F193" s="39" t="s">
        <v>394</v>
      </c>
      <c r="G193" s="39" t="s">
        <v>12</v>
      </c>
      <c r="H193" s="53">
        <v>60</v>
      </c>
      <c r="I193" s="52">
        <v>0.25</v>
      </c>
      <c r="J193" s="52">
        <f t="shared" si="9"/>
        <v>15</v>
      </c>
      <c r="K193" s="51">
        <v>15</v>
      </c>
    </row>
    <row r="194" spans="1:11">
      <c r="A194" s="50">
        <v>6</v>
      </c>
      <c r="B194" s="51" t="s">
        <v>48</v>
      </c>
      <c r="C194" s="43" t="s">
        <v>361</v>
      </c>
      <c r="D194" s="40">
        <v>613242</v>
      </c>
      <c r="E194" s="40" t="s">
        <v>125</v>
      </c>
      <c r="F194" s="39" t="s">
        <v>71</v>
      </c>
      <c r="G194" s="39" t="s">
        <v>27</v>
      </c>
      <c r="H194" s="53">
        <v>1</v>
      </c>
      <c r="I194" s="52">
        <v>33.5</v>
      </c>
      <c r="J194" s="52">
        <f t="shared" si="9"/>
        <v>33.5</v>
      </c>
      <c r="K194" s="51">
        <v>33.5</v>
      </c>
    </row>
    <row r="195" spans="1:11">
      <c r="A195" s="50">
        <v>7</v>
      </c>
      <c r="B195" s="51" t="s">
        <v>48</v>
      </c>
      <c r="C195" s="43" t="s">
        <v>361</v>
      </c>
      <c r="D195" s="40">
        <v>613242</v>
      </c>
      <c r="E195" s="40" t="s">
        <v>125</v>
      </c>
      <c r="F195" s="39" t="s">
        <v>350</v>
      </c>
      <c r="G195" s="39" t="s">
        <v>12</v>
      </c>
      <c r="H195" s="53">
        <v>14</v>
      </c>
      <c r="I195" s="52">
        <v>9.1</v>
      </c>
      <c r="J195" s="52">
        <f t="shared" si="9"/>
        <v>127.39999999999999</v>
      </c>
      <c r="K195" s="51">
        <v>127.4</v>
      </c>
    </row>
    <row r="196" spans="1:11">
      <c r="A196" s="50">
        <v>8</v>
      </c>
      <c r="B196" s="51" t="s">
        <v>48</v>
      </c>
      <c r="C196" s="43" t="s">
        <v>127</v>
      </c>
      <c r="D196" s="40">
        <v>613242</v>
      </c>
      <c r="E196" s="40" t="s">
        <v>134</v>
      </c>
      <c r="F196" s="39" t="s">
        <v>128</v>
      </c>
      <c r="G196" s="39" t="s">
        <v>12</v>
      </c>
      <c r="H196" s="53">
        <v>16</v>
      </c>
      <c r="I196" s="52">
        <v>17.649999999999999</v>
      </c>
      <c r="J196" s="52">
        <f t="shared" si="9"/>
        <v>282.39999999999998</v>
      </c>
      <c r="K196" s="51">
        <v>282.39999999999998</v>
      </c>
    </row>
    <row r="197" spans="1:11">
      <c r="A197" s="50">
        <v>9</v>
      </c>
      <c r="B197" s="51" t="s">
        <v>48</v>
      </c>
      <c r="C197" s="43" t="s">
        <v>127</v>
      </c>
      <c r="D197" s="40">
        <v>613242</v>
      </c>
      <c r="E197" s="40" t="s">
        <v>125</v>
      </c>
      <c r="F197" s="39" t="s">
        <v>395</v>
      </c>
      <c r="G197" s="39" t="s">
        <v>12</v>
      </c>
      <c r="H197" s="53">
        <v>6</v>
      </c>
      <c r="I197" s="52">
        <v>35</v>
      </c>
      <c r="J197" s="52">
        <f t="shared" si="9"/>
        <v>210</v>
      </c>
      <c r="K197" s="51">
        <v>210</v>
      </c>
    </row>
    <row r="198" spans="1:11">
      <c r="A198" s="50">
        <v>10</v>
      </c>
      <c r="B198" s="51" t="s">
        <v>48</v>
      </c>
      <c r="C198" s="43" t="s">
        <v>127</v>
      </c>
      <c r="D198" s="40">
        <v>613242</v>
      </c>
      <c r="E198" s="40" t="s">
        <v>134</v>
      </c>
      <c r="F198" s="39" t="s">
        <v>352</v>
      </c>
      <c r="G198" s="39" t="s">
        <v>12</v>
      </c>
      <c r="H198" s="53">
        <v>5</v>
      </c>
      <c r="I198" s="52">
        <v>11</v>
      </c>
      <c r="J198" s="52">
        <f t="shared" si="9"/>
        <v>55</v>
      </c>
      <c r="K198" s="51">
        <v>55</v>
      </c>
    </row>
    <row r="199" spans="1:11">
      <c r="A199" s="50">
        <v>11</v>
      </c>
      <c r="B199" s="51" t="s">
        <v>48</v>
      </c>
      <c r="C199" s="43" t="s">
        <v>361</v>
      </c>
      <c r="D199" s="40">
        <v>613242</v>
      </c>
      <c r="E199" s="40" t="s">
        <v>125</v>
      </c>
      <c r="F199" s="39" t="s">
        <v>57</v>
      </c>
      <c r="G199" s="39" t="s">
        <v>12</v>
      </c>
      <c r="H199" s="53">
        <v>55</v>
      </c>
      <c r="I199" s="52">
        <v>12.5</v>
      </c>
      <c r="J199" s="52">
        <f t="shared" si="9"/>
        <v>687.5</v>
      </c>
      <c r="K199" s="51">
        <v>687.5</v>
      </c>
    </row>
    <row r="200" spans="1:11">
      <c r="A200" s="50">
        <v>12</v>
      </c>
      <c r="B200" s="51" t="s">
        <v>48</v>
      </c>
      <c r="C200" s="43" t="s">
        <v>115</v>
      </c>
      <c r="D200" s="40">
        <v>613242</v>
      </c>
      <c r="E200" s="40" t="s">
        <v>134</v>
      </c>
      <c r="F200" s="39" t="s">
        <v>372</v>
      </c>
      <c r="G200" s="39" t="s">
        <v>12</v>
      </c>
      <c r="H200" s="53">
        <v>7</v>
      </c>
      <c r="I200" s="52">
        <v>75</v>
      </c>
      <c r="J200" s="52">
        <f t="shared" si="9"/>
        <v>525</v>
      </c>
      <c r="K200" s="51">
        <v>525</v>
      </c>
    </row>
    <row r="201" spans="1:11">
      <c r="A201" s="50">
        <v>13</v>
      </c>
      <c r="B201" s="51" t="s">
        <v>48</v>
      </c>
      <c r="C201" s="43" t="s">
        <v>115</v>
      </c>
      <c r="D201" s="40">
        <v>611021</v>
      </c>
      <c r="E201" s="40">
        <v>1114</v>
      </c>
      <c r="F201" s="39" t="s">
        <v>200</v>
      </c>
      <c r="G201" s="39" t="s">
        <v>12</v>
      </c>
      <c r="H201" s="53">
        <v>5</v>
      </c>
      <c r="I201" s="52">
        <v>420</v>
      </c>
      <c r="J201" s="52">
        <f t="shared" si="9"/>
        <v>2100</v>
      </c>
      <c r="K201" s="51">
        <v>2100</v>
      </c>
    </row>
    <row r="202" spans="1:11">
      <c r="A202" s="50">
        <v>14</v>
      </c>
      <c r="B202" s="51" t="s">
        <v>48</v>
      </c>
      <c r="C202" s="43" t="s">
        <v>115</v>
      </c>
      <c r="D202" s="40">
        <v>613242</v>
      </c>
      <c r="E202" s="40" t="s">
        <v>134</v>
      </c>
      <c r="F202" s="39" t="s">
        <v>371</v>
      </c>
      <c r="G202" s="39" t="s">
        <v>12</v>
      </c>
      <c r="H202" s="53">
        <v>28</v>
      </c>
      <c r="I202" s="52">
        <v>37.5</v>
      </c>
      <c r="J202" s="52">
        <f t="shared" si="9"/>
        <v>1050</v>
      </c>
      <c r="K202" s="51">
        <v>1050</v>
      </c>
    </row>
    <row r="203" spans="1:11">
      <c r="A203" s="50">
        <v>15</v>
      </c>
      <c r="B203" s="51" t="s">
        <v>48</v>
      </c>
      <c r="C203" s="43" t="s">
        <v>115</v>
      </c>
      <c r="D203" s="40">
        <v>611021</v>
      </c>
      <c r="E203" s="40">
        <v>1113</v>
      </c>
      <c r="F203" s="39" t="s">
        <v>59</v>
      </c>
      <c r="G203" s="39" t="s">
        <v>12</v>
      </c>
      <c r="H203" s="53">
        <v>1</v>
      </c>
      <c r="I203" s="52">
        <v>1221.6500000000001</v>
      </c>
      <c r="J203" s="52">
        <f t="shared" si="9"/>
        <v>1221.6500000000001</v>
      </c>
      <c r="K203" s="51">
        <v>1221.6500000000001</v>
      </c>
    </row>
    <row r="204" spans="1:11">
      <c r="A204" s="50">
        <v>16</v>
      </c>
      <c r="B204" s="51" t="s">
        <v>48</v>
      </c>
      <c r="C204" s="43" t="s">
        <v>115</v>
      </c>
      <c r="D204" s="40">
        <v>611021</v>
      </c>
      <c r="E204" s="40">
        <v>1113</v>
      </c>
      <c r="F204" s="39" t="s">
        <v>370</v>
      </c>
      <c r="G204" s="39" t="s">
        <v>12</v>
      </c>
      <c r="H204" s="53">
        <v>2</v>
      </c>
      <c r="I204" s="52">
        <v>348.35</v>
      </c>
      <c r="J204" s="52">
        <f t="shared" si="9"/>
        <v>696.7</v>
      </c>
      <c r="K204" s="51">
        <v>696.7</v>
      </c>
    </row>
    <row r="205" spans="1:11">
      <c r="A205" s="50">
        <v>17</v>
      </c>
      <c r="B205" s="51" t="s">
        <v>48</v>
      </c>
      <c r="C205" s="43" t="s">
        <v>115</v>
      </c>
      <c r="D205" s="40">
        <v>611021</v>
      </c>
      <c r="E205" s="40">
        <v>1113</v>
      </c>
      <c r="F205" s="39" t="s">
        <v>369</v>
      </c>
      <c r="G205" s="39" t="s">
        <v>12</v>
      </c>
      <c r="H205" s="53">
        <v>3</v>
      </c>
      <c r="I205" s="52">
        <v>2860</v>
      </c>
      <c r="J205" s="52">
        <f t="shared" si="9"/>
        <v>8580</v>
      </c>
      <c r="K205" s="51">
        <v>8580</v>
      </c>
    </row>
    <row r="206" spans="1:11">
      <c r="A206" s="50">
        <v>18</v>
      </c>
      <c r="B206" s="51" t="s">
        <v>48</v>
      </c>
      <c r="C206" s="43" t="s">
        <v>115</v>
      </c>
      <c r="D206" s="40">
        <v>611021</v>
      </c>
      <c r="E206" s="40">
        <v>1114</v>
      </c>
      <c r="F206" s="39" t="s">
        <v>179</v>
      </c>
      <c r="G206" s="39" t="s">
        <v>12</v>
      </c>
      <c r="H206" s="53">
        <v>5</v>
      </c>
      <c r="I206" s="52">
        <v>123</v>
      </c>
      <c r="J206" s="52">
        <f t="shared" si="9"/>
        <v>615</v>
      </c>
      <c r="K206" s="51">
        <v>615</v>
      </c>
    </row>
    <row r="207" spans="1:11">
      <c r="A207" s="50">
        <v>19</v>
      </c>
      <c r="B207" s="51" t="s">
        <v>48</v>
      </c>
      <c r="C207" s="43" t="s">
        <v>115</v>
      </c>
      <c r="D207" s="40">
        <v>611021</v>
      </c>
      <c r="E207" s="40">
        <v>1113</v>
      </c>
      <c r="F207" s="39" t="s">
        <v>58</v>
      </c>
      <c r="G207" s="39" t="s">
        <v>12</v>
      </c>
      <c r="H207" s="53">
        <v>1</v>
      </c>
      <c r="I207" s="52">
        <v>2499.21</v>
      </c>
      <c r="J207" s="52">
        <f t="shared" si="9"/>
        <v>2499.21</v>
      </c>
      <c r="K207" s="51">
        <v>2499.21</v>
      </c>
    </row>
    <row r="208" spans="1:11">
      <c r="A208" s="50">
        <v>20</v>
      </c>
      <c r="B208" s="51" t="s">
        <v>48</v>
      </c>
      <c r="C208" s="43" t="s">
        <v>115</v>
      </c>
      <c r="D208" s="40">
        <v>611021</v>
      </c>
      <c r="E208" s="40">
        <v>1113</v>
      </c>
      <c r="F208" s="39" t="s">
        <v>368</v>
      </c>
      <c r="G208" s="39" t="s">
        <v>12</v>
      </c>
      <c r="H208" s="53">
        <v>2</v>
      </c>
      <c r="I208" s="52">
        <v>1850</v>
      </c>
      <c r="J208" s="52">
        <f t="shared" si="9"/>
        <v>3700</v>
      </c>
      <c r="K208" s="51">
        <v>3700</v>
      </c>
    </row>
    <row r="209" spans="1:11">
      <c r="A209" s="50">
        <v>21</v>
      </c>
      <c r="B209" s="51" t="s">
        <v>48</v>
      </c>
      <c r="C209" s="43" t="s">
        <v>115</v>
      </c>
      <c r="D209" s="40">
        <v>611021</v>
      </c>
      <c r="E209" s="40">
        <v>1114</v>
      </c>
      <c r="F209" s="39" t="s">
        <v>25</v>
      </c>
      <c r="G209" s="39" t="s">
        <v>12</v>
      </c>
      <c r="H209" s="53">
        <v>5</v>
      </c>
      <c r="I209" s="52">
        <v>195</v>
      </c>
      <c r="J209" s="52">
        <f t="shared" si="9"/>
        <v>975</v>
      </c>
      <c r="K209" s="51">
        <v>975</v>
      </c>
    </row>
    <row r="210" spans="1:11">
      <c r="A210" s="50">
        <v>22</v>
      </c>
      <c r="B210" s="51" t="s">
        <v>48</v>
      </c>
      <c r="C210" s="43" t="s">
        <v>115</v>
      </c>
      <c r="D210" s="40">
        <v>611021</v>
      </c>
      <c r="E210" s="40">
        <v>1113</v>
      </c>
      <c r="F210" s="39" t="s">
        <v>404</v>
      </c>
      <c r="G210" s="39" t="s">
        <v>12</v>
      </c>
      <c r="H210" s="53">
        <v>1</v>
      </c>
      <c r="I210" s="52">
        <v>1083.3499999999999</v>
      </c>
      <c r="J210" s="52">
        <f t="shared" si="9"/>
        <v>1083.3499999999999</v>
      </c>
      <c r="K210" s="51">
        <v>1083.3499999999999</v>
      </c>
    </row>
    <row r="211" spans="1:11">
      <c r="A211" s="50">
        <v>23</v>
      </c>
      <c r="B211" s="51" t="s">
        <v>48</v>
      </c>
      <c r="C211" s="43" t="s">
        <v>115</v>
      </c>
      <c r="D211" s="40">
        <v>611021</v>
      </c>
      <c r="E211" s="40">
        <v>1113</v>
      </c>
      <c r="F211" s="39" t="s">
        <v>133</v>
      </c>
      <c r="G211" s="39" t="s">
        <v>12</v>
      </c>
      <c r="H211" s="53">
        <v>1</v>
      </c>
      <c r="I211" s="52">
        <v>333.35</v>
      </c>
      <c r="J211" s="52">
        <f t="shared" si="9"/>
        <v>333.35</v>
      </c>
      <c r="K211" s="51">
        <v>333.35</v>
      </c>
    </row>
    <row r="212" spans="1:11">
      <c r="A212" s="45"/>
      <c r="B212" s="46"/>
      <c r="C212" s="47"/>
      <c r="D212" s="45"/>
      <c r="E212" s="45"/>
      <c r="F212" s="46" t="s">
        <v>14</v>
      </c>
      <c r="G212" s="46"/>
      <c r="H212" s="48"/>
      <c r="I212" s="49"/>
      <c r="J212" s="49">
        <f>SUM(J189:J211)</f>
        <v>26529.759999999995</v>
      </c>
      <c r="K212" s="46">
        <f>SUM(K189:K211)</f>
        <v>26529.759999999995</v>
      </c>
    </row>
    <row r="213" spans="1:11">
      <c r="A213" s="40">
        <v>1</v>
      </c>
      <c r="B213" s="39" t="s">
        <v>75</v>
      </c>
      <c r="C213" s="43" t="s">
        <v>343</v>
      </c>
      <c r="D213" s="40">
        <v>611021</v>
      </c>
      <c r="E213" s="40">
        <v>1112</v>
      </c>
      <c r="F213" s="39" t="s">
        <v>344</v>
      </c>
      <c r="G213" s="39" t="s">
        <v>12</v>
      </c>
      <c r="H213" s="41">
        <v>84</v>
      </c>
      <c r="I213" s="42">
        <v>107.99</v>
      </c>
      <c r="J213" s="42">
        <f>H213*I213</f>
        <v>9071.16</v>
      </c>
      <c r="K213" s="39">
        <v>9071.16</v>
      </c>
    </row>
    <row r="214" spans="1:11">
      <c r="A214" s="40">
        <v>2</v>
      </c>
      <c r="B214" s="39" t="s">
        <v>75</v>
      </c>
      <c r="C214" s="43" t="s">
        <v>115</v>
      </c>
      <c r="D214" s="40">
        <v>613230</v>
      </c>
      <c r="E214" s="40" t="s">
        <v>11</v>
      </c>
      <c r="F214" s="39" t="s">
        <v>367</v>
      </c>
      <c r="G214" s="39" t="s">
        <v>12</v>
      </c>
      <c r="H214" s="48">
        <v>10</v>
      </c>
      <c r="I214" s="42">
        <v>392.94</v>
      </c>
      <c r="J214" s="42">
        <f t="shared" ref="J214:J217" si="10">H214*I214</f>
        <v>3929.4</v>
      </c>
      <c r="K214" s="46">
        <v>3929.4</v>
      </c>
    </row>
    <row r="215" spans="1:11">
      <c r="A215" s="40">
        <v>3</v>
      </c>
      <c r="B215" s="39" t="s">
        <v>75</v>
      </c>
      <c r="C215" s="43" t="s">
        <v>115</v>
      </c>
      <c r="D215" s="40">
        <v>613230</v>
      </c>
      <c r="E215" s="40" t="s">
        <v>11</v>
      </c>
      <c r="F215" s="39" t="s">
        <v>366</v>
      </c>
      <c r="G215" s="39" t="s">
        <v>12</v>
      </c>
      <c r="H215" s="48">
        <v>30</v>
      </c>
      <c r="I215" s="42">
        <v>25.08</v>
      </c>
      <c r="J215" s="42">
        <f t="shared" si="10"/>
        <v>752.4</v>
      </c>
      <c r="K215" s="46">
        <v>752.4</v>
      </c>
    </row>
    <row r="216" spans="1:11">
      <c r="A216" s="40">
        <v>4</v>
      </c>
      <c r="B216" s="39" t="s">
        <v>75</v>
      </c>
      <c r="C216" s="43" t="s">
        <v>115</v>
      </c>
      <c r="D216" s="40">
        <v>613230</v>
      </c>
      <c r="E216" s="40" t="s">
        <v>11</v>
      </c>
      <c r="F216" s="39" t="s">
        <v>19</v>
      </c>
      <c r="G216" s="39" t="s">
        <v>12</v>
      </c>
      <c r="H216" s="48">
        <v>16</v>
      </c>
      <c r="I216" s="42">
        <v>122.22</v>
      </c>
      <c r="J216" s="42">
        <f t="shared" si="10"/>
        <v>1955.52</v>
      </c>
      <c r="K216" s="46">
        <v>1955.52</v>
      </c>
    </row>
    <row r="217" spans="1:11">
      <c r="A217" s="40">
        <v>5</v>
      </c>
      <c r="B217" s="39" t="s">
        <v>75</v>
      </c>
      <c r="C217" s="43" t="s">
        <v>115</v>
      </c>
      <c r="D217" s="40">
        <v>613230</v>
      </c>
      <c r="E217" s="40" t="s">
        <v>11</v>
      </c>
      <c r="F217" s="39" t="s">
        <v>389</v>
      </c>
      <c r="G217" s="39" t="s">
        <v>12</v>
      </c>
      <c r="H217" s="48">
        <v>2</v>
      </c>
      <c r="I217" s="42">
        <v>82.74</v>
      </c>
      <c r="J217" s="42">
        <f t="shared" si="10"/>
        <v>165.48</v>
      </c>
      <c r="K217" s="46">
        <v>165.48</v>
      </c>
    </row>
    <row r="218" spans="1:11">
      <c r="A218" s="40">
        <v>6</v>
      </c>
      <c r="B218" s="39" t="s">
        <v>75</v>
      </c>
      <c r="C218" s="43" t="s">
        <v>115</v>
      </c>
      <c r="D218" s="40">
        <v>611021</v>
      </c>
      <c r="E218" s="40">
        <v>1014</v>
      </c>
      <c r="F218" s="39" t="s">
        <v>362</v>
      </c>
      <c r="G218" s="39" t="s">
        <v>12</v>
      </c>
      <c r="H218" s="48">
        <v>1</v>
      </c>
      <c r="I218" s="42">
        <v>29763.56</v>
      </c>
      <c r="J218" s="42">
        <f>H218*I218</f>
        <v>29763.56</v>
      </c>
      <c r="K218" s="46">
        <v>29763.56</v>
      </c>
    </row>
    <row r="219" spans="1:11">
      <c r="A219" s="40">
        <v>7</v>
      </c>
      <c r="B219" s="39" t="s">
        <v>75</v>
      </c>
      <c r="C219" s="43" t="s">
        <v>115</v>
      </c>
      <c r="D219" s="40">
        <v>611021</v>
      </c>
      <c r="E219" s="40">
        <v>1014</v>
      </c>
      <c r="F219" s="39" t="s">
        <v>396</v>
      </c>
      <c r="G219" s="39" t="s">
        <v>12</v>
      </c>
      <c r="H219" s="48">
        <v>1</v>
      </c>
      <c r="I219" s="42">
        <v>22322.41</v>
      </c>
      <c r="J219" s="42">
        <f t="shared" ref="J219" si="11">H219*I219</f>
        <v>22322.41</v>
      </c>
      <c r="K219" s="46">
        <v>22322.41</v>
      </c>
    </row>
    <row r="220" spans="1:11">
      <c r="A220" s="40">
        <v>8</v>
      </c>
      <c r="B220" s="39" t="s">
        <v>75</v>
      </c>
      <c r="C220" s="43" t="s">
        <v>127</v>
      </c>
      <c r="D220" s="40">
        <v>611021</v>
      </c>
      <c r="E220" s="40" t="s">
        <v>11</v>
      </c>
      <c r="F220" s="39" t="s">
        <v>62</v>
      </c>
      <c r="G220" s="39" t="s">
        <v>12</v>
      </c>
      <c r="H220" s="48">
        <f>6+103</f>
        <v>109</v>
      </c>
      <c r="I220" s="42"/>
      <c r="J220" s="42">
        <f>10712+894</f>
        <v>11606</v>
      </c>
      <c r="K220" s="46">
        <v>11606</v>
      </c>
    </row>
    <row r="221" spans="1:11">
      <c r="A221" s="45"/>
      <c r="B221" s="46"/>
      <c r="C221" s="47"/>
      <c r="D221" s="45"/>
      <c r="E221" s="45"/>
      <c r="F221" s="46" t="s">
        <v>14</v>
      </c>
      <c r="G221" s="46"/>
      <c r="H221" s="48"/>
      <c r="I221" s="49"/>
      <c r="J221" s="49">
        <f>SUM(J213:J220)</f>
        <v>79565.930000000008</v>
      </c>
      <c r="K221" s="46">
        <f>SUM(K213:K220)</f>
        <v>79565.930000000008</v>
      </c>
    </row>
    <row r="222" spans="1:11">
      <c r="A222" s="50">
        <v>1</v>
      </c>
      <c r="B222" s="51" t="s">
        <v>55</v>
      </c>
      <c r="C222" s="43" t="s">
        <v>247</v>
      </c>
      <c r="D222" s="40">
        <v>611021</v>
      </c>
      <c r="E222" s="40">
        <v>1113</v>
      </c>
      <c r="F222" s="39" t="s">
        <v>397</v>
      </c>
      <c r="G222" s="39" t="s">
        <v>12</v>
      </c>
      <c r="H222" s="41">
        <v>2</v>
      </c>
      <c r="I222" s="42"/>
      <c r="J222" s="42">
        <v>700</v>
      </c>
      <c r="K222" s="51">
        <v>700</v>
      </c>
    </row>
    <row r="223" spans="1:11" ht="30">
      <c r="A223" s="50">
        <v>2</v>
      </c>
      <c r="B223" s="51"/>
      <c r="C223" s="43" t="s">
        <v>400</v>
      </c>
      <c r="D223" s="40">
        <v>617520</v>
      </c>
      <c r="E223" s="40">
        <v>1113</v>
      </c>
      <c r="F223" s="39" t="s">
        <v>401</v>
      </c>
      <c r="G223" s="39" t="s">
        <v>12</v>
      </c>
      <c r="H223" s="41">
        <v>30</v>
      </c>
      <c r="I223" s="42">
        <v>14159.08</v>
      </c>
      <c r="J223" s="42">
        <v>424772.4</v>
      </c>
      <c r="K223" s="51"/>
    </row>
    <row r="224" spans="1:11">
      <c r="A224" s="45"/>
      <c r="B224" s="46"/>
      <c r="C224" s="47"/>
      <c r="D224" s="45"/>
      <c r="E224" s="45"/>
      <c r="F224" s="46" t="s">
        <v>14</v>
      </c>
      <c r="G224" s="46"/>
      <c r="H224" s="48"/>
      <c r="I224" s="49"/>
      <c r="J224" s="49">
        <f>SUM(J222:J223)</f>
        <v>425472.4</v>
      </c>
      <c r="K224" s="46"/>
    </row>
    <row r="225" spans="1:11" s="57" customFormat="1" ht="30" hidden="1">
      <c r="A225" s="50"/>
      <c r="B225" s="51" t="s">
        <v>168</v>
      </c>
      <c r="C225" s="43" t="s">
        <v>166</v>
      </c>
      <c r="D225" s="40">
        <v>617520</v>
      </c>
      <c r="E225" s="40">
        <v>1113</v>
      </c>
      <c r="F225" s="39"/>
      <c r="G225" s="39" t="s">
        <v>12</v>
      </c>
      <c r="H225" s="41"/>
      <c r="I225" s="42"/>
      <c r="J225" s="42">
        <f>H225*I225</f>
        <v>0</v>
      </c>
      <c r="K225" s="51"/>
    </row>
    <row r="226" spans="1:11" hidden="1">
      <c r="A226" s="45"/>
      <c r="B226" s="46"/>
      <c r="C226" s="47"/>
      <c r="D226" s="45"/>
      <c r="E226" s="45"/>
      <c r="F226" s="46" t="s">
        <v>14</v>
      </c>
      <c r="G226" s="46"/>
      <c r="H226" s="48"/>
      <c r="I226" s="49"/>
      <c r="J226" s="49">
        <f>SUM(J225)</f>
        <v>0</v>
      </c>
      <c r="K226" s="46"/>
    </row>
    <row r="227" spans="1:11">
      <c r="A227" s="40">
        <v>1</v>
      </c>
      <c r="B227" s="39" t="s">
        <v>108</v>
      </c>
      <c r="C227" s="43" t="s">
        <v>127</v>
      </c>
      <c r="D227" s="40">
        <v>613242</v>
      </c>
      <c r="E227" s="40" t="s">
        <v>134</v>
      </c>
      <c r="F227" s="39" t="s">
        <v>388</v>
      </c>
      <c r="G227" s="39" t="s">
        <v>12</v>
      </c>
      <c r="H227" s="41">
        <v>5</v>
      </c>
      <c r="I227" s="42"/>
      <c r="J227" s="52">
        <v>350</v>
      </c>
      <c r="K227" s="39">
        <v>350</v>
      </c>
    </row>
    <row r="228" spans="1:11">
      <c r="A228" s="40">
        <v>2</v>
      </c>
      <c r="B228" s="39" t="s">
        <v>108</v>
      </c>
      <c r="C228" s="43" t="s">
        <v>127</v>
      </c>
      <c r="D228" s="40">
        <v>613242</v>
      </c>
      <c r="E228" s="40" t="s">
        <v>125</v>
      </c>
      <c r="F228" s="39" t="s">
        <v>322</v>
      </c>
      <c r="G228" s="39" t="s">
        <v>12</v>
      </c>
      <c r="H228" s="41">
        <v>6</v>
      </c>
      <c r="I228" s="42"/>
      <c r="J228" s="52">
        <v>450</v>
      </c>
      <c r="K228" s="39">
        <v>450</v>
      </c>
    </row>
    <row r="229" spans="1:11">
      <c r="A229" s="40">
        <v>3</v>
      </c>
      <c r="B229" s="39" t="s">
        <v>108</v>
      </c>
      <c r="C229" s="43" t="s">
        <v>115</v>
      </c>
      <c r="D229" s="40">
        <v>613242</v>
      </c>
      <c r="E229" s="40" t="s">
        <v>125</v>
      </c>
      <c r="F229" s="39" t="s">
        <v>71</v>
      </c>
      <c r="G229" s="39" t="s">
        <v>27</v>
      </c>
      <c r="H229" s="41">
        <v>5</v>
      </c>
      <c r="I229" s="42">
        <v>40</v>
      </c>
      <c r="J229" s="52">
        <v>200</v>
      </c>
      <c r="K229" s="39">
        <v>200</v>
      </c>
    </row>
    <row r="230" spans="1:11">
      <c r="A230" s="40">
        <v>4</v>
      </c>
      <c r="B230" s="39" t="s">
        <v>108</v>
      </c>
      <c r="C230" s="43" t="s">
        <v>115</v>
      </c>
      <c r="D230" s="40">
        <v>611021</v>
      </c>
      <c r="E230" s="40">
        <v>1113</v>
      </c>
      <c r="F230" s="39" t="s">
        <v>368</v>
      </c>
      <c r="G230" s="39" t="s">
        <v>12</v>
      </c>
      <c r="H230" s="41">
        <v>1</v>
      </c>
      <c r="I230" s="42">
        <v>1850</v>
      </c>
      <c r="J230" s="52">
        <v>1850</v>
      </c>
      <c r="K230" s="39">
        <v>1850</v>
      </c>
    </row>
    <row r="231" spans="1:11">
      <c r="A231" s="40">
        <v>5</v>
      </c>
      <c r="B231" s="39" t="s">
        <v>108</v>
      </c>
      <c r="C231" s="43" t="s">
        <v>115</v>
      </c>
      <c r="D231" s="40">
        <v>611021</v>
      </c>
      <c r="E231" s="40">
        <v>1113</v>
      </c>
      <c r="F231" s="39" t="s">
        <v>58</v>
      </c>
      <c r="G231" s="39" t="s">
        <v>12</v>
      </c>
      <c r="H231" s="41">
        <v>1</v>
      </c>
      <c r="I231" s="42">
        <v>2499.21</v>
      </c>
      <c r="J231" s="52">
        <v>2499.21</v>
      </c>
      <c r="K231" s="39">
        <v>2499.21</v>
      </c>
    </row>
    <row r="232" spans="1:11">
      <c r="A232" s="40">
        <v>6</v>
      </c>
      <c r="B232" s="39" t="s">
        <v>108</v>
      </c>
      <c r="C232" s="43" t="s">
        <v>115</v>
      </c>
      <c r="D232" s="40">
        <v>611021</v>
      </c>
      <c r="E232" s="40">
        <v>1113</v>
      </c>
      <c r="F232" s="39" t="s">
        <v>369</v>
      </c>
      <c r="G232" s="39" t="s">
        <v>12</v>
      </c>
      <c r="H232" s="41">
        <v>3</v>
      </c>
      <c r="I232" s="42">
        <v>2860</v>
      </c>
      <c r="J232" s="52">
        <v>8580</v>
      </c>
      <c r="K232" s="39">
        <v>8580</v>
      </c>
    </row>
    <row r="233" spans="1:11">
      <c r="A233" s="40">
        <v>7</v>
      </c>
      <c r="B233" s="39" t="s">
        <v>108</v>
      </c>
      <c r="C233" s="43" t="s">
        <v>115</v>
      </c>
      <c r="D233" s="40">
        <v>611021</v>
      </c>
      <c r="E233" s="40">
        <v>1113</v>
      </c>
      <c r="F233" s="39" t="s">
        <v>370</v>
      </c>
      <c r="G233" s="39" t="s">
        <v>12</v>
      </c>
      <c r="H233" s="41">
        <v>1</v>
      </c>
      <c r="I233" s="42">
        <v>348.35</v>
      </c>
      <c r="J233" s="52">
        <v>348.35</v>
      </c>
      <c r="K233" s="39">
        <v>348.35</v>
      </c>
    </row>
    <row r="234" spans="1:11">
      <c r="A234" s="40">
        <v>8</v>
      </c>
      <c r="B234" s="39" t="s">
        <v>108</v>
      </c>
      <c r="C234" s="43" t="s">
        <v>115</v>
      </c>
      <c r="D234" s="40">
        <v>613242</v>
      </c>
      <c r="E234" s="40" t="s">
        <v>134</v>
      </c>
      <c r="F234" s="39" t="s">
        <v>371</v>
      </c>
      <c r="G234" s="39" t="s">
        <v>12</v>
      </c>
      <c r="H234" s="41">
        <v>28</v>
      </c>
      <c r="I234" s="42">
        <v>37.5</v>
      </c>
      <c r="J234" s="52">
        <v>1050</v>
      </c>
      <c r="K234" s="39">
        <v>1050</v>
      </c>
    </row>
    <row r="235" spans="1:11">
      <c r="A235" s="40">
        <v>9</v>
      </c>
      <c r="B235" s="39" t="s">
        <v>108</v>
      </c>
      <c r="C235" s="43" t="s">
        <v>115</v>
      </c>
      <c r="D235" s="40">
        <v>613242</v>
      </c>
      <c r="E235" s="40" t="s">
        <v>134</v>
      </c>
      <c r="F235" s="39" t="s">
        <v>372</v>
      </c>
      <c r="G235" s="39" t="s">
        <v>12</v>
      </c>
      <c r="H235" s="41">
        <v>7</v>
      </c>
      <c r="I235" s="42">
        <v>75</v>
      </c>
      <c r="J235" s="52">
        <v>525</v>
      </c>
      <c r="K235" s="39">
        <v>525</v>
      </c>
    </row>
    <row r="236" spans="1:11">
      <c r="A236" s="40">
        <v>10</v>
      </c>
      <c r="B236" s="39" t="s">
        <v>108</v>
      </c>
      <c r="C236" s="43" t="s">
        <v>115</v>
      </c>
      <c r="D236" s="40">
        <v>611021</v>
      </c>
      <c r="E236" s="40">
        <v>1113</v>
      </c>
      <c r="F236" s="39" t="s">
        <v>91</v>
      </c>
      <c r="G236" s="39" t="s">
        <v>12</v>
      </c>
      <c r="H236" s="41">
        <v>1</v>
      </c>
      <c r="I236" s="42">
        <v>1083.3499999999999</v>
      </c>
      <c r="J236" s="52">
        <v>1083.3499999999999</v>
      </c>
      <c r="K236" s="39">
        <v>1083.3499999999999</v>
      </c>
    </row>
    <row r="237" spans="1:11">
      <c r="A237" s="40">
        <v>11</v>
      </c>
      <c r="B237" s="39" t="s">
        <v>108</v>
      </c>
      <c r="C237" s="43" t="s">
        <v>115</v>
      </c>
      <c r="D237" s="40">
        <v>611021</v>
      </c>
      <c r="E237" s="40">
        <v>1113</v>
      </c>
      <c r="F237" s="39" t="s">
        <v>133</v>
      </c>
      <c r="G237" s="39" t="s">
        <v>12</v>
      </c>
      <c r="H237" s="41">
        <v>1</v>
      </c>
      <c r="I237" s="42">
        <v>333.35</v>
      </c>
      <c r="J237" s="52">
        <v>333.35</v>
      </c>
      <c r="K237" s="39">
        <v>333.35</v>
      </c>
    </row>
    <row r="238" spans="1:11">
      <c r="A238" s="40">
        <v>12</v>
      </c>
      <c r="B238" s="39" t="s">
        <v>108</v>
      </c>
      <c r="C238" s="43" t="s">
        <v>115</v>
      </c>
      <c r="D238" s="40">
        <v>611021</v>
      </c>
      <c r="E238" s="40">
        <v>1113</v>
      </c>
      <c r="F238" s="39" t="s">
        <v>59</v>
      </c>
      <c r="G238" s="39" t="s">
        <v>12</v>
      </c>
      <c r="H238" s="41">
        <v>1</v>
      </c>
      <c r="I238" s="42">
        <v>1221.6500000000001</v>
      </c>
      <c r="J238" s="52">
        <v>1221.6500000000001</v>
      </c>
      <c r="K238" s="39">
        <v>1221.6500000000001</v>
      </c>
    </row>
    <row r="239" spans="1:11">
      <c r="A239" s="40">
        <v>13</v>
      </c>
      <c r="B239" s="39" t="s">
        <v>108</v>
      </c>
      <c r="C239" s="43" t="s">
        <v>115</v>
      </c>
      <c r="D239" s="40">
        <v>611021</v>
      </c>
      <c r="E239" s="40">
        <v>1114</v>
      </c>
      <c r="F239" s="39" t="s">
        <v>179</v>
      </c>
      <c r="G239" s="39" t="s">
        <v>12</v>
      </c>
      <c r="H239" s="41">
        <v>5</v>
      </c>
      <c r="I239" s="42">
        <v>123</v>
      </c>
      <c r="J239" s="52">
        <v>615</v>
      </c>
      <c r="K239" s="39">
        <v>615</v>
      </c>
    </row>
    <row r="240" spans="1:11">
      <c r="A240" s="40">
        <v>14</v>
      </c>
      <c r="B240" s="39" t="s">
        <v>108</v>
      </c>
      <c r="C240" s="43" t="s">
        <v>115</v>
      </c>
      <c r="D240" s="40">
        <v>611021</v>
      </c>
      <c r="E240" s="40">
        <v>1114</v>
      </c>
      <c r="F240" s="39" t="s">
        <v>200</v>
      </c>
      <c r="G240" s="39" t="s">
        <v>12</v>
      </c>
      <c r="H240" s="41">
        <v>5</v>
      </c>
      <c r="I240" s="42">
        <v>420</v>
      </c>
      <c r="J240" s="52">
        <v>2100</v>
      </c>
      <c r="K240" s="39">
        <v>2100</v>
      </c>
    </row>
    <row r="241" spans="1:11">
      <c r="A241" s="40">
        <v>15</v>
      </c>
      <c r="B241" s="39" t="s">
        <v>108</v>
      </c>
      <c r="C241" s="43" t="s">
        <v>115</v>
      </c>
      <c r="D241" s="40">
        <v>611021</v>
      </c>
      <c r="E241" s="40">
        <v>1114</v>
      </c>
      <c r="F241" s="39" t="s">
        <v>25</v>
      </c>
      <c r="G241" s="39" t="s">
        <v>12</v>
      </c>
      <c r="H241" s="41">
        <v>5</v>
      </c>
      <c r="I241" s="42">
        <v>195</v>
      </c>
      <c r="J241" s="52">
        <v>975</v>
      </c>
      <c r="K241" s="39">
        <v>975</v>
      </c>
    </row>
    <row r="242" spans="1:11">
      <c r="A242" s="40">
        <v>16</v>
      </c>
      <c r="B242" s="39" t="s">
        <v>108</v>
      </c>
      <c r="C242" s="43" t="s">
        <v>361</v>
      </c>
      <c r="D242" s="40">
        <v>613242</v>
      </c>
      <c r="E242" s="40" t="s">
        <v>125</v>
      </c>
      <c r="F242" s="39" t="s">
        <v>70</v>
      </c>
      <c r="G242" s="39" t="s">
        <v>12</v>
      </c>
      <c r="H242" s="41">
        <f>7+2</f>
        <v>9</v>
      </c>
      <c r="I242" s="42"/>
      <c r="J242" s="52">
        <f>170.8+135.8</f>
        <v>306.60000000000002</v>
      </c>
      <c r="K242" s="39">
        <v>306.60000000000002</v>
      </c>
    </row>
    <row r="243" spans="1:11">
      <c r="A243" s="40">
        <v>17</v>
      </c>
      <c r="B243" s="39" t="s">
        <v>108</v>
      </c>
      <c r="C243" s="43" t="s">
        <v>361</v>
      </c>
      <c r="D243" s="40">
        <v>613242</v>
      </c>
      <c r="E243" s="40" t="s">
        <v>134</v>
      </c>
      <c r="F243" s="39" t="s">
        <v>142</v>
      </c>
      <c r="G243" s="39" t="s">
        <v>12</v>
      </c>
      <c r="H243" s="41">
        <v>100</v>
      </c>
      <c r="I243" s="42">
        <v>0.37</v>
      </c>
      <c r="J243" s="52">
        <v>37</v>
      </c>
      <c r="K243" s="39">
        <v>37</v>
      </c>
    </row>
    <row r="244" spans="1:11">
      <c r="A244" s="40">
        <v>18</v>
      </c>
      <c r="B244" s="39" t="s">
        <v>108</v>
      </c>
      <c r="C244" s="43" t="s">
        <v>361</v>
      </c>
      <c r="D244" s="40">
        <v>613242</v>
      </c>
      <c r="E244" s="40" t="s">
        <v>134</v>
      </c>
      <c r="F244" s="39" t="s">
        <v>234</v>
      </c>
      <c r="G244" s="39"/>
      <c r="H244" s="41">
        <v>100</v>
      </c>
      <c r="I244" s="42">
        <v>2.37</v>
      </c>
      <c r="J244" s="52">
        <v>237</v>
      </c>
      <c r="K244" s="39">
        <v>237</v>
      </c>
    </row>
    <row r="245" spans="1:11">
      <c r="A245" s="40">
        <v>19</v>
      </c>
      <c r="B245" s="39" t="s">
        <v>108</v>
      </c>
      <c r="C245" s="43" t="s">
        <v>361</v>
      </c>
      <c r="D245" s="40">
        <v>613242</v>
      </c>
      <c r="E245" s="40" t="s">
        <v>125</v>
      </c>
      <c r="F245" s="39" t="s">
        <v>353</v>
      </c>
      <c r="G245" s="39"/>
      <c r="H245" s="41">
        <f>3+4</f>
        <v>7</v>
      </c>
      <c r="I245" s="42">
        <f>129.9</f>
        <v>129.9</v>
      </c>
      <c r="J245" s="52">
        <f>389.7+519.6</f>
        <v>909.3</v>
      </c>
      <c r="K245" s="39">
        <v>909.3</v>
      </c>
    </row>
    <row r="246" spans="1:11">
      <c r="A246" s="40">
        <v>20</v>
      </c>
      <c r="B246" s="39" t="s">
        <v>108</v>
      </c>
      <c r="C246" s="43" t="s">
        <v>361</v>
      </c>
      <c r="D246" s="40">
        <v>613242</v>
      </c>
      <c r="E246" s="40" t="s">
        <v>125</v>
      </c>
      <c r="F246" s="39" t="s">
        <v>394</v>
      </c>
      <c r="G246" s="39"/>
      <c r="H246" s="41">
        <v>80</v>
      </c>
      <c r="I246" s="42">
        <v>0.25</v>
      </c>
      <c r="J246" s="52">
        <v>20</v>
      </c>
      <c r="K246" s="39">
        <v>20</v>
      </c>
    </row>
    <row r="247" spans="1:11">
      <c r="A247" s="45"/>
      <c r="B247" s="46"/>
      <c r="C247" s="47"/>
      <c r="D247" s="45"/>
      <c r="E247" s="45"/>
      <c r="F247" s="46" t="s">
        <v>14</v>
      </c>
      <c r="G247" s="46"/>
      <c r="H247" s="48"/>
      <c r="I247" s="49"/>
      <c r="J247" s="49">
        <f>SUM(J227:J246)</f>
        <v>23690.809999999998</v>
      </c>
      <c r="K247" s="46">
        <f>SUM(K227:K246)</f>
        <v>23690.809999999998</v>
      </c>
    </row>
    <row r="248" spans="1:11">
      <c r="A248" s="50">
        <v>1</v>
      </c>
      <c r="B248" s="51" t="s">
        <v>52</v>
      </c>
      <c r="C248" s="43" t="s">
        <v>211</v>
      </c>
      <c r="D248" s="40">
        <v>613242</v>
      </c>
      <c r="E248" s="40" t="s">
        <v>134</v>
      </c>
      <c r="F248" s="39" t="s">
        <v>234</v>
      </c>
      <c r="G248" s="39" t="s">
        <v>12</v>
      </c>
      <c r="H248" s="41">
        <f>182+98</f>
        <v>280</v>
      </c>
      <c r="I248" s="42"/>
      <c r="J248" s="42">
        <f>145.6+88.2</f>
        <v>233.8</v>
      </c>
      <c r="K248" s="51">
        <v>233.8</v>
      </c>
    </row>
    <row r="249" spans="1:11">
      <c r="A249" s="50">
        <v>2</v>
      </c>
      <c r="B249" s="51" t="s">
        <v>52</v>
      </c>
      <c r="C249" s="43" t="s">
        <v>211</v>
      </c>
      <c r="D249" s="40">
        <v>613242</v>
      </c>
      <c r="E249" s="40" t="s">
        <v>134</v>
      </c>
      <c r="F249" s="39" t="s">
        <v>142</v>
      </c>
      <c r="G249" s="39" t="s">
        <v>12</v>
      </c>
      <c r="H249" s="41">
        <v>300</v>
      </c>
      <c r="I249" s="42">
        <v>0.5</v>
      </c>
      <c r="J249" s="42">
        <v>150</v>
      </c>
      <c r="K249" s="51">
        <v>150</v>
      </c>
    </row>
    <row r="250" spans="1:11">
      <c r="A250" s="50">
        <v>3</v>
      </c>
      <c r="B250" s="51" t="s">
        <v>52</v>
      </c>
      <c r="C250" s="43" t="s">
        <v>211</v>
      </c>
      <c r="D250" s="40">
        <v>613242</v>
      </c>
      <c r="E250" s="40" t="s">
        <v>125</v>
      </c>
      <c r="F250" s="39" t="s">
        <v>70</v>
      </c>
      <c r="G250" s="39" t="s">
        <v>12</v>
      </c>
      <c r="H250" s="41">
        <f>10+10</f>
        <v>20</v>
      </c>
      <c r="I250" s="42">
        <v>27</v>
      </c>
      <c r="J250" s="42">
        <f>270+270</f>
        <v>540</v>
      </c>
      <c r="K250" s="51">
        <v>540</v>
      </c>
    </row>
    <row r="251" spans="1:11">
      <c r="A251" s="50">
        <v>4</v>
      </c>
      <c r="B251" s="51" t="s">
        <v>52</v>
      </c>
      <c r="C251" s="43" t="s">
        <v>211</v>
      </c>
      <c r="D251" s="40">
        <v>613242</v>
      </c>
      <c r="E251" s="40" t="s">
        <v>125</v>
      </c>
      <c r="F251" s="39" t="s">
        <v>71</v>
      </c>
      <c r="G251" s="39" t="s">
        <v>27</v>
      </c>
      <c r="H251" s="41">
        <v>5</v>
      </c>
      <c r="I251" s="42">
        <v>30</v>
      </c>
      <c r="J251" s="42">
        <v>150</v>
      </c>
      <c r="K251" s="51">
        <v>150</v>
      </c>
    </row>
    <row r="252" spans="1:11">
      <c r="A252" s="50">
        <v>5</v>
      </c>
      <c r="B252" s="51" t="s">
        <v>52</v>
      </c>
      <c r="C252" s="43" t="s">
        <v>115</v>
      </c>
      <c r="D252" s="40">
        <v>611021</v>
      </c>
      <c r="E252" s="40">
        <v>1113</v>
      </c>
      <c r="F252" s="39" t="s">
        <v>368</v>
      </c>
      <c r="G252" s="39" t="s">
        <v>12</v>
      </c>
      <c r="H252" s="41">
        <v>1</v>
      </c>
      <c r="I252" s="42">
        <v>1850</v>
      </c>
      <c r="J252" s="42">
        <f>H252*I252</f>
        <v>1850</v>
      </c>
      <c r="K252" s="51">
        <v>1850</v>
      </c>
    </row>
    <row r="253" spans="1:11">
      <c r="A253" s="50">
        <v>6</v>
      </c>
      <c r="B253" s="51" t="s">
        <v>52</v>
      </c>
      <c r="C253" s="43" t="s">
        <v>115</v>
      </c>
      <c r="D253" s="40">
        <v>611021</v>
      </c>
      <c r="E253" s="40">
        <v>1113</v>
      </c>
      <c r="F253" s="39" t="s">
        <v>58</v>
      </c>
      <c r="G253" s="39" t="s">
        <v>12</v>
      </c>
      <c r="H253" s="41">
        <v>1</v>
      </c>
      <c r="I253" s="42">
        <v>2499.21</v>
      </c>
      <c r="J253" s="42">
        <f t="shared" ref="J253:J265" si="12">H253*I253</f>
        <v>2499.21</v>
      </c>
      <c r="K253" s="51">
        <v>2499.21</v>
      </c>
    </row>
    <row r="254" spans="1:11">
      <c r="A254" s="50">
        <v>7</v>
      </c>
      <c r="B254" s="51" t="s">
        <v>52</v>
      </c>
      <c r="C254" s="43" t="s">
        <v>115</v>
      </c>
      <c r="D254" s="40">
        <v>611021</v>
      </c>
      <c r="E254" s="40">
        <v>1113</v>
      </c>
      <c r="F254" s="39" t="s">
        <v>369</v>
      </c>
      <c r="G254" s="39" t="s">
        <v>12</v>
      </c>
      <c r="H254" s="41">
        <v>3</v>
      </c>
      <c r="I254" s="42">
        <v>2860</v>
      </c>
      <c r="J254" s="42">
        <f t="shared" si="12"/>
        <v>8580</v>
      </c>
      <c r="K254" s="51">
        <v>8580</v>
      </c>
    </row>
    <row r="255" spans="1:11">
      <c r="A255" s="50">
        <v>8</v>
      </c>
      <c r="B255" s="51" t="s">
        <v>52</v>
      </c>
      <c r="C255" s="43" t="s">
        <v>115</v>
      </c>
      <c r="D255" s="40">
        <v>611021</v>
      </c>
      <c r="E255" s="40">
        <v>1113</v>
      </c>
      <c r="F255" s="39" t="s">
        <v>370</v>
      </c>
      <c r="G255" s="39" t="s">
        <v>12</v>
      </c>
      <c r="H255" s="41">
        <v>2</v>
      </c>
      <c r="I255" s="42">
        <v>348.35</v>
      </c>
      <c r="J255" s="42">
        <f t="shared" si="12"/>
        <v>696.7</v>
      </c>
      <c r="K255" s="51">
        <v>696.7</v>
      </c>
    </row>
    <row r="256" spans="1:11">
      <c r="A256" s="50">
        <v>9</v>
      </c>
      <c r="B256" s="51" t="s">
        <v>52</v>
      </c>
      <c r="C256" s="43" t="s">
        <v>115</v>
      </c>
      <c r="D256" s="40">
        <v>611021</v>
      </c>
      <c r="E256" s="40">
        <v>1113</v>
      </c>
      <c r="F256" s="39" t="s">
        <v>405</v>
      </c>
      <c r="G256" s="39" t="s">
        <v>12</v>
      </c>
      <c r="H256" s="41">
        <v>1</v>
      </c>
      <c r="I256" s="42">
        <v>5416.65</v>
      </c>
      <c r="J256" s="42">
        <f t="shared" si="12"/>
        <v>5416.65</v>
      </c>
      <c r="K256" s="51">
        <v>5416.65</v>
      </c>
    </row>
    <row r="257" spans="1:11">
      <c r="A257" s="50">
        <v>10</v>
      </c>
      <c r="B257" s="51" t="s">
        <v>52</v>
      </c>
      <c r="C257" s="43" t="s">
        <v>115</v>
      </c>
      <c r="D257" s="40">
        <v>613242</v>
      </c>
      <c r="E257" s="40" t="s">
        <v>134</v>
      </c>
      <c r="F257" s="39" t="s">
        <v>371</v>
      </c>
      <c r="G257" s="39" t="s">
        <v>12</v>
      </c>
      <c r="H257" s="41">
        <v>33</v>
      </c>
      <c r="I257" s="42">
        <v>37.5</v>
      </c>
      <c r="J257" s="42">
        <f t="shared" si="12"/>
        <v>1237.5</v>
      </c>
      <c r="K257" s="51">
        <v>1237.5</v>
      </c>
    </row>
    <row r="258" spans="1:11">
      <c r="A258" s="50">
        <v>11</v>
      </c>
      <c r="B258" s="51" t="s">
        <v>52</v>
      </c>
      <c r="C258" s="43" t="s">
        <v>115</v>
      </c>
      <c r="D258" s="40">
        <v>613242</v>
      </c>
      <c r="E258" s="40" t="s">
        <v>134</v>
      </c>
      <c r="F258" s="39" t="s">
        <v>372</v>
      </c>
      <c r="G258" s="39" t="s">
        <v>12</v>
      </c>
      <c r="H258" s="41">
        <v>7</v>
      </c>
      <c r="I258" s="42">
        <v>75</v>
      </c>
      <c r="J258" s="42">
        <f t="shared" si="12"/>
        <v>525</v>
      </c>
      <c r="K258" s="51">
        <v>525</v>
      </c>
    </row>
    <row r="259" spans="1:11">
      <c r="A259" s="50">
        <v>12</v>
      </c>
      <c r="B259" s="51" t="s">
        <v>52</v>
      </c>
      <c r="C259" s="43" t="s">
        <v>115</v>
      </c>
      <c r="D259" s="40">
        <v>611021</v>
      </c>
      <c r="E259" s="40">
        <v>1113</v>
      </c>
      <c r="F259" s="39" t="s">
        <v>91</v>
      </c>
      <c r="G259" s="39" t="s">
        <v>12</v>
      </c>
      <c r="H259" s="41">
        <v>1</v>
      </c>
      <c r="I259" s="42">
        <v>1083.3499999999999</v>
      </c>
      <c r="J259" s="42">
        <f t="shared" si="12"/>
        <v>1083.3499999999999</v>
      </c>
      <c r="K259" s="51">
        <v>1083.3499999999999</v>
      </c>
    </row>
    <row r="260" spans="1:11">
      <c r="A260" s="50">
        <v>13</v>
      </c>
      <c r="B260" s="51" t="s">
        <v>52</v>
      </c>
      <c r="C260" s="43" t="s">
        <v>115</v>
      </c>
      <c r="D260" s="40">
        <v>611021</v>
      </c>
      <c r="E260" s="40">
        <v>1113</v>
      </c>
      <c r="F260" s="39" t="s">
        <v>133</v>
      </c>
      <c r="G260" s="39" t="s">
        <v>12</v>
      </c>
      <c r="H260" s="41">
        <v>1</v>
      </c>
      <c r="I260" s="42">
        <v>333.35</v>
      </c>
      <c r="J260" s="42">
        <f t="shared" si="12"/>
        <v>333.35</v>
      </c>
      <c r="K260" s="51">
        <v>333.35</v>
      </c>
    </row>
    <row r="261" spans="1:11">
      <c r="A261" s="50">
        <v>14</v>
      </c>
      <c r="B261" s="51" t="s">
        <v>52</v>
      </c>
      <c r="C261" s="43" t="s">
        <v>115</v>
      </c>
      <c r="D261" s="40">
        <v>611021</v>
      </c>
      <c r="E261" s="40">
        <v>1113</v>
      </c>
      <c r="F261" s="39" t="s">
        <v>59</v>
      </c>
      <c r="G261" s="39" t="s">
        <v>12</v>
      </c>
      <c r="H261" s="41">
        <v>1</v>
      </c>
      <c r="I261" s="42">
        <v>1221.6500000000001</v>
      </c>
      <c r="J261" s="42">
        <f t="shared" si="12"/>
        <v>1221.6500000000001</v>
      </c>
      <c r="K261" s="51">
        <v>1221.6500000000001</v>
      </c>
    </row>
    <row r="262" spans="1:11">
      <c r="A262" s="50">
        <v>15</v>
      </c>
      <c r="B262" s="51" t="s">
        <v>52</v>
      </c>
      <c r="C262" s="43" t="s">
        <v>115</v>
      </c>
      <c r="D262" s="40">
        <v>611021</v>
      </c>
      <c r="E262" s="40">
        <v>1114</v>
      </c>
      <c r="F262" s="39" t="s">
        <v>179</v>
      </c>
      <c r="G262" s="39" t="s">
        <v>12</v>
      </c>
      <c r="H262" s="41">
        <v>5</v>
      </c>
      <c r="I262" s="42">
        <v>123</v>
      </c>
      <c r="J262" s="42">
        <f t="shared" si="12"/>
        <v>615</v>
      </c>
      <c r="K262" s="51">
        <v>615</v>
      </c>
    </row>
    <row r="263" spans="1:11">
      <c r="A263" s="50">
        <v>16</v>
      </c>
      <c r="B263" s="51" t="s">
        <v>52</v>
      </c>
      <c r="C263" s="43" t="s">
        <v>115</v>
      </c>
      <c r="D263" s="40">
        <v>611021</v>
      </c>
      <c r="E263" s="40">
        <v>1114</v>
      </c>
      <c r="F263" s="39" t="s">
        <v>200</v>
      </c>
      <c r="G263" s="39" t="s">
        <v>12</v>
      </c>
      <c r="H263" s="41">
        <v>5</v>
      </c>
      <c r="I263" s="42">
        <v>420</v>
      </c>
      <c r="J263" s="42">
        <f t="shared" si="12"/>
        <v>2100</v>
      </c>
      <c r="K263" s="51">
        <v>2100</v>
      </c>
    </row>
    <row r="264" spans="1:11">
      <c r="A264" s="50">
        <v>17</v>
      </c>
      <c r="B264" s="51" t="s">
        <v>52</v>
      </c>
      <c r="C264" s="43" t="s">
        <v>115</v>
      </c>
      <c r="D264" s="40">
        <v>611021</v>
      </c>
      <c r="E264" s="40">
        <v>1114</v>
      </c>
      <c r="F264" s="39" t="s">
        <v>25</v>
      </c>
      <c r="G264" s="39" t="s">
        <v>12</v>
      </c>
      <c r="H264" s="41">
        <v>5</v>
      </c>
      <c r="I264" s="42">
        <v>195</v>
      </c>
      <c r="J264" s="42">
        <f t="shared" si="12"/>
        <v>975</v>
      </c>
      <c r="K264" s="51">
        <v>975</v>
      </c>
    </row>
    <row r="265" spans="1:11">
      <c r="A265" s="50">
        <v>18</v>
      </c>
      <c r="B265" s="51" t="s">
        <v>52</v>
      </c>
      <c r="C265" s="43" t="s">
        <v>115</v>
      </c>
      <c r="D265" s="40">
        <v>611021</v>
      </c>
      <c r="E265" s="40">
        <v>1113</v>
      </c>
      <c r="F265" s="39" t="s">
        <v>406</v>
      </c>
      <c r="G265" s="39" t="s">
        <v>12</v>
      </c>
      <c r="H265" s="41">
        <v>1</v>
      </c>
      <c r="I265" s="42">
        <v>35853</v>
      </c>
      <c r="J265" s="42">
        <f t="shared" si="12"/>
        <v>35853</v>
      </c>
      <c r="K265" s="51">
        <v>35853</v>
      </c>
    </row>
    <row r="266" spans="1:11">
      <c r="A266" s="45"/>
      <c r="B266" s="46"/>
      <c r="C266" s="47"/>
      <c r="D266" s="45"/>
      <c r="E266" s="45"/>
      <c r="F266" s="46" t="s">
        <v>14</v>
      </c>
      <c r="G266" s="46"/>
      <c r="H266" s="48"/>
      <c r="I266" s="49"/>
      <c r="J266" s="49">
        <f>SUM(J248:J265)</f>
        <v>64060.21</v>
      </c>
      <c r="K266" s="46">
        <f>SUM(K248:K265)</f>
        <v>64060.21</v>
      </c>
    </row>
    <row r="267" spans="1:11">
      <c r="A267" s="50">
        <v>1</v>
      </c>
      <c r="B267" s="51" t="s">
        <v>84</v>
      </c>
      <c r="C267" s="43" t="s">
        <v>115</v>
      </c>
      <c r="D267" s="40">
        <v>611021</v>
      </c>
      <c r="E267" s="40">
        <v>1113</v>
      </c>
      <c r="F267" s="39" t="s">
        <v>363</v>
      </c>
      <c r="G267" s="39" t="s">
        <v>12</v>
      </c>
      <c r="H267" s="41">
        <v>7</v>
      </c>
      <c r="I267" s="42">
        <v>1030</v>
      </c>
      <c r="J267" s="42">
        <f>H267*I267</f>
        <v>7210</v>
      </c>
      <c r="K267" s="51">
        <v>7210</v>
      </c>
    </row>
    <row r="268" spans="1:11">
      <c r="A268" s="50">
        <v>2</v>
      </c>
      <c r="B268" s="51" t="s">
        <v>84</v>
      </c>
      <c r="C268" s="43" t="s">
        <v>115</v>
      </c>
      <c r="D268" s="40">
        <v>611021</v>
      </c>
      <c r="E268" s="40" t="s">
        <v>11</v>
      </c>
      <c r="F268" s="39" t="s">
        <v>403</v>
      </c>
      <c r="G268" s="39" t="s">
        <v>33</v>
      </c>
      <c r="H268" s="41">
        <v>2</v>
      </c>
      <c r="I268" s="42">
        <v>200.6</v>
      </c>
      <c r="J268" s="42">
        <f t="shared" ref="J268:J269" si="13">H268*I268</f>
        <v>401.2</v>
      </c>
      <c r="K268" s="51">
        <v>401.2</v>
      </c>
    </row>
    <row r="269" spans="1:11" hidden="1">
      <c r="A269" s="50"/>
      <c r="B269" s="51" t="s">
        <v>84</v>
      </c>
      <c r="C269" s="43"/>
      <c r="D269" s="40"/>
      <c r="E269" s="40"/>
      <c r="F269" s="39"/>
      <c r="G269" s="39"/>
      <c r="H269" s="41"/>
      <c r="I269" s="42"/>
      <c r="J269" s="42">
        <f t="shared" si="13"/>
        <v>0</v>
      </c>
      <c r="K269" s="51"/>
    </row>
    <row r="270" spans="1:11">
      <c r="A270" s="45"/>
      <c r="B270" s="46"/>
      <c r="C270" s="47"/>
      <c r="D270" s="45"/>
      <c r="E270" s="45"/>
      <c r="F270" s="46" t="s">
        <v>14</v>
      </c>
      <c r="G270" s="46"/>
      <c r="H270" s="48"/>
      <c r="I270" s="49"/>
      <c r="J270" s="49">
        <f>SUM(J267:J269)</f>
        <v>7611.2</v>
      </c>
      <c r="K270" s="46">
        <f>SUM(K267:K269)</f>
        <v>7611.2</v>
      </c>
    </row>
    <row r="271" spans="1:11">
      <c r="A271" s="40">
        <v>1</v>
      </c>
      <c r="B271" s="39" t="s">
        <v>112</v>
      </c>
      <c r="C271" s="43" t="s">
        <v>211</v>
      </c>
      <c r="D271" s="40">
        <v>613242</v>
      </c>
      <c r="E271" s="40" t="s">
        <v>125</v>
      </c>
      <c r="F271" s="39" t="s">
        <v>70</v>
      </c>
      <c r="G271" s="39" t="s">
        <v>12</v>
      </c>
      <c r="H271" s="41">
        <f>6+2</f>
        <v>8</v>
      </c>
      <c r="I271" s="42"/>
      <c r="J271" s="52">
        <f>173.4+135.8</f>
        <v>309.20000000000005</v>
      </c>
      <c r="K271" s="39">
        <v>309.2</v>
      </c>
    </row>
    <row r="272" spans="1:11">
      <c r="A272" s="40">
        <v>2</v>
      </c>
      <c r="B272" s="39" t="s">
        <v>112</v>
      </c>
      <c r="C272" s="43" t="s">
        <v>211</v>
      </c>
      <c r="D272" s="40">
        <v>613242</v>
      </c>
      <c r="E272" s="40" t="s">
        <v>11</v>
      </c>
      <c r="F272" s="39" t="s">
        <v>142</v>
      </c>
      <c r="G272" s="39" t="s">
        <v>12</v>
      </c>
      <c r="H272" s="41">
        <v>100</v>
      </c>
      <c r="I272" s="42">
        <v>0.79</v>
      </c>
      <c r="J272" s="52">
        <f t="shared" ref="J272:J273" si="14">H272*I272</f>
        <v>79</v>
      </c>
      <c r="K272" s="39">
        <v>79</v>
      </c>
    </row>
    <row r="273" spans="1:12">
      <c r="A273" s="40">
        <v>3</v>
      </c>
      <c r="B273" s="39" t="s">
        <v>112</v>
      </c>
      <c r="C273" s="43" t="s">
        <v>211</v>
      </c>
      <c r="D273" s="40">
        <v>613242</v>
      </c>
      <c r="E273" s="40" t="s">
        <v>11</v>
      </c>
      <c r="F273" s="39" t="s">
        <v>234</v>
      </c>
      <c r="G273" s="39" t="s">
        <v>12</v>
      </c>
      <c r="H273" s="41">
        <v>100</v>
      </c>
      <c r="I273" s="42">
        <v>1.99</v>
      </c>
      <c r="J273" s="52">
        <f t="shared" si="14"/>
        <v>199</v>
      </c>
      <c r="K273" s="39">
        <v>199</v>
      </c>
    </row>
    <row r="274" spans="1:12">
      <c r="A274" s="40">
        <v>4</v>
      </c>
      <c r="B274" s="39" t="s">
        <v>112</v>
      </c>
      <c r="C274" s="43" t="s">
        <v>211</v>
      </c>
      <c r="D274" s="40">
        <v>613242</v>
      </c>
      <c r="E274" s="40" t="s">
        <v>125</v>
      </c>
      <c r="F274" s="39" t="s">
        <v>353</v>
      </c>
      <c r="G274" s="39" t="s">
        <v>12</v>
      </c>
      <c r="H274" s="41">
        <f>3+4</f>
        <v>7</v>
      </c>
      <c r="I274" s="42"/>
      <c r="J274" s="52">
        <f>389.7+615</f>
        <v>1004.7</v>
      </c>
      <c r="K274" s="39">
        <v>1004.7</v>
      </c>
    </row>
    <row r="275" spans="1:12">
      <c r="A275" s="45"/>
      <c r="B275" s="46"/>
      <c r="C275" s="47"/>
      <c r="D275" s="45"/>
      <c r="E275" s="45"/>
      <c r="F275" s="46" t="s">
        <v>14</v>
      </c>
      <c r="G275" s="46"/>
      <c r="H275" s="48"/>
      <c r="I275" s="49"/>
      <c r="J275" s="49">
        <f>SUM(J271:J274)</f>
        <v>1591.9</v>
      </c>
      <c r="K275" s="46">
        <f>SUM(K271:K274)</f>
        <v>1591.9</v>
      </c>
    </row>
    <row r="276" spans="1:12" ht="30" hidden="1">
      <c r="A276" s="50"/>
      <c r="B276" s="51" t="s">
        <v>54</v>
      </c>
      <c r="C276" s="43" t="s">
        <v>166</v>
      </c>
      <c r="D276" s="40">
        <v>617520</v>
      </c>
      <c r="E276" s="40">
        <v>1113</v>
      </c>
      <c r="F276" s="39"/>
      <c r="G276" s="39" t="s">
        <v>12</v>
      </c>
      <c r="H276" s="41"/>
      <c r="I276" s="42"/>
      <c r="J276" s="42">
        <f>H276*I276</f>
        <v>0</v>
      </c>
      <c r="K276" s="51"/>
    </row>
    <row r="277" spans="1:12" hidden="1">
      <c r="A277" s="45"/>
      <c r="B277" s="46"/>
      <c r="C277" s="47"/>
      <c r="D277" s="45"/>
      <c r="E277" s="45"/>
      <c r="F277" s="46" t="s">
        <v>14</v>
      </c>
      <c r="G277" s="46"/>
      <c r="H277" s="48"/>
      <c r="I277" s="49"/>
      <c r="J277" s="49">
        <f>SUM(J276)</f>
        <v>0</v>
      </c>
      <c r="K277" s="46"/>
      <c r="L277" s="44"/>
    </row>
    <row r="278" spans="1:12">
      <c r="A278" s="180" t="s">
        <v>76</v>
      </c>
      <c r="B278" s="181"/>
      <c r="C278" s="58"/>
      <c r="D278" s="59"/>
      <c r="E278" s="59"/>
      <c r="F278" s="58"/>
      <c r="G278" s="58"/>
      <c r="H278" s="60"/>
      <c r="I278" s="61"/>
      <c r="J278" s="61">
        <f>J277+J275+J270+J266+J247+J226+J224+J221+J212+J188+J170+J168+J131+J129+J127+J125+J99+J78+J64+J62+J56+J45+J43</f>
        <v>1597281.774</v>
      </c>
      <c r="K278" s="58"/>
      <c r="L278" s="44"/>
    </row>
    <row r="279" spans="1:12">
      <c r="A279" s="50">
        <v>1</v>
      </c>
      <c r="B279" s="51" t="s">
        <v>113</v>
      </c>
      <c r="C279" s="43" t="s">
        <v>115</v>
      </c>
      <c r="D279" s="62">
        <v>611021</v>
      </c>
      <c r="E279" s="40">
        <v>1014</v>
      </c>
      <c r="F279" s="39" t="s">
        <v>396</v>
      </c>
      <c r="G279" s="39" t="s">
        <v>12</v>
      </c>
      <c r="H279" s="41">
        <v>1</v>
      </c>
      <c r="I279" s="52">
        <v>22322.41</v>
      </c>
      <c r="J279" s="52">
        <f>H279*I279</f>
        <v>22322.41</v>
      </c>
      <c r="K279" s="51">
        <v>22322.41</v>
      </c>
    </row>
    <row r="280" spans="1:12">
      <c r="A280" s="50">
        <v>2</v>
      </c>
      <c r="B280" s="51" t="s">
        <v>113</v>
      </c>
      <c r="C280" s="43" t="s">
        <v>115</v>
      </c>
      <c r="D280" s="40">
        <v>611021</v>
      </c>
      <c r="E280" s="40">
        <v>1014</v>
      </c>
      <c r="F280" s="39" t="s">
        <v>362</v>
      </c>
      <c r="G280" s="39" t="s">
        <v>12</v>
      </c>
      <c r="H280" s="41">
        <v>1</v>
      </c>
      <c r="I280" s="52">
        <v>29763.56</v>
      </c>
      <c r="J280" s="52">
        <f t="shared" ref="J280:J282" si="15">H280*I280</f>
        <v>29763.56</v>
      </c>
      <c r="K280" s="51">
        <v>29763.56</v>
      </c>
    </row>
    <row r="281" spans="1:12">
      <c r="A281" s="50">
        <v>3</v>
      </c>
      <c r="B281" s="51" t="s">
        <v>113</v>
      </c>
      <c r="C281" s="43" t="s">
        <v>115</v>
      </c>
      <c r="D281" s="62">
        <v>611021</v>
      </c>
      <c r="E281" s="40">
        <v>1113</v>
      </c>
      <c r="F281" s="39" t="s">
        <v>398</v>
      </c>
      <c r="G281" s="39" t="s">
        <v>12</v>
      </c>
      <c r="H281" s="41">
        <v>2</v>
      </c>
      <c r="I281" s="52">
        <v>990</v>
      </c>
      <c r="J281" s="52">
        <f t="shared" si="15"/>
        <v>1980</v>
      </c>
      <c r="K281" s="51">
        <v>1980</v>
      </c>
    </row>
    <row r="282" spans="1:12">
      <c r="A282" s="50">
        <v>4</v>
      </c>
      <c r="B282" s="51" t="s">
        <v>113</v>
      </c>
      <c r="C282" s="43" t="s">
        <v>115</v>
      </c>
      <c r="D282" s="40">
        <v>611021</v>
      </c>
      <c r="E282" s="40">
        <v>1113</v>
      </c>
      <c r="F282" s="39" t="s">
        <v>399</v>
      </c>
      <c r="G282" s="39" t="s">
        <v>12</v>
      </c>
      <c r="H282" s="41">
        <v>2</v>
      </c>
      <c r="I282" s="52">
        <v>10750</v>
      </c>
      <c r="J282" s="52">
        <f t="shared" si="15"/>
        <v>21500</v>
      </c>
      <c r="K282" s="51">
        <v>21500</v>
      </c>
    </row>
    <row r="283" spans="1:12">
      <c r="A283" s="45"/>
      <c r="B283" s="46"/>
      <c r="C283" s="46"/>
      <c r="D283" s="45"/>
      <c r="E283" s="45"/>
      <c r="F283" s="46"/>
      <c r="G283" s="46"/>
      <c r="H283" s="48"/>
      <c r="I283" s="49"/>
      <c r="J283" s="61">
        <f>SUM(J279:J282)</f>
        <v>75565.97</v>
      </c>
      <c r="K283" s="46">
        <f>SUM(K279:K282)</f>
        <v>75565.97</v>
      </c>
    </row>
    <row r="284" spans="1:12">
      <c r="A284" s="59"/>
      <c r="B284" s="58"/>
      <c r="C284" s="58" t="s">
        <v>307</v>
      </c>
      <c r="D284" s="59"/>
      <c r="E284" s="59"/>
      <c r="F284" s="58"/>
      <c r="G284" s="58"/>
      <c r="H284" s="60"/>
      <c r="I284" s="61"/>
      <c r="J284" s="63">
        <f>J283+J278</f>
        <v>1672847.7439999999</v>
      </c>
      <c r="K284" s="58"/>
    </row>
    <row r="286" spans="1:12">
      <c r="B286" s="38" t="s">
        <v>77</v>
      </c>
    </row>
  </sheetData>
  <mergeCells count="2">
    <mergeCell ref="A1:K1"/>
    <mergeCell ref="A278:B278"/>
  </mergeCells>
  <pageMargins left="0.70866141732283472" right="0.70866141732283472" top="0.19685039370078741" bottom="0.27" header="0.31496062992125984" footer="0.31496062992125984"/>
  <pageSetup paperSize="9" scale="65" orientation="landscape" verticalDpi="0" r:id="rId1"/>
  <rowBreaks count="5" manualBreakCount="5">
    <brk id="62" max="16383" man="1"/>
    <brk id="113" max="16383" man="1"/>
    <brk id="170" max="16383" man="1"/>
    <brk id="230" max="14" man="1"/>
    <brk id="284" max="16383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L22"/>
  <sheetViews>
    <sheetView view="pageBreakPreview" zoomScaleSheetLayoutView="100" workbookViewId="0">
      <selection activeCell="I21" sqref="I21"/>
    </sheetView>
  </sheetViews>
  <sheetFormatPr defaultRowHeight="15.75"/>
  <cols>
    <col min="1" max="1" width="3.85546875" style="86" customWidth="1"/>
    <col min="2" max="2" width="29.42578125" style="65" customWidth="1"/>
    <col min="3" max="3" width="28.42578125" style="65" customWidth="1"/>
    <col min="4" max="4" width="12.28515625" style="86" customWidth="1"/>
    <col min="5" max="5" width="9.140625" style="86"/>
    <col min="6" max="6" width="32.140625" style="65" customWidth="1"/>
    <col min="7" max="7" width="9.140625" style="65" customWidth="1"/>
    <col min="8" max="8" width="9.140625" style="87" customWidth="1"/>
    <col min="9" max="9" width="14.7109375" style="84" customWidth="1"/>
    <col min="10" max="10" width="13.85546875" style="84" customWidth="1"/>
    <col min="11" max="11" width="12.42578125" style="65" customWidth="1"/>
    <col min="12" max="12" width="20.7109375" style="65" customWidth="1"/>
    <col min="13" max="16384" width="9.140625" style="65"/>
  </cols>
  <sheetData>
    <row r="1" spans="1:11">
      <c r="A1" s="182" t="s">
        <v>342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47.25">
      <c r="A2" s="66" t="s">
        <v>0</v>
      </c>
      <c r="B2" s="67" t="s">
        <v>1</v>
      </c>
      <c r="C2" s="67" t="s">
        <v>2</v>
      </c>
      <c r="D2" s="68" t="s">
        <v>66</v>
      </c>
      <c r="E2" s="68" t="s">
        <v>4</v>
      </c>
      <c r="F2" s="67" t="s">
        <v>5</v>
      </c>
      <c r="G2" s="67" t="s">
        <v>6</v>
      </c>
      <c r="H2" s="69" t="s">
        <v>7</v>
      </c>
      <c r="I2" s="70" t="s">
        <v>8</v>
      </c>
      <c r="J2" s="70" t="s">
        <v>9</v>
      </c>
      <c r="K2" s="67" t="s">
        <v>67</v>
      </c>
    </row>
    <row r="3" spans="1:11">
      <c r="A3" s="68">
        <v>1</v>
      </c>
      <c r="B3" s="67" t="s">
        <v>345</v>
      </c>
      <c r="C3" s="71" t="s">
        <v>115</v>
      </c>
      <c r="D3" s="68">
        <v>611010</v>
      </c>
      <c r="E3" s="68">
        <v>1014</v>
      </c>
      <c r="F3" s="67" t="s">
        <v>160</v>
      </c>
      <c r="G3" s="67" t="s">
        <v>12</v>
      </c>
      <c r="H3" s="69">
        <v>1</v>
      </c>
      <c r="I3" s="70">
        <v>22322.41</v>
      </c>
      <c r="J3" s="70">
        <f>H3*I3</f>
        <v>22322.41</v>
      </c>
      <c r="K3" s="70">
        <v>22322.41</v>
      </c>
    </row>
    <row r="4" spans="1:11">
      <c r="A4" s="68"/>
      <c r="B4" s="67" t="s">
        <v>345</v>
      </c>
      <c r="C4" s="71" t="s">
        <v>115</v>
      </c>
      <c r="D4" s="68">
        <v>611010</v>
      </c>
      <c r="E4" s="68">
        <v>1014</v>
      </c>
      <c r="F4" s="67" t="s">
        <v>346</v>
      </c>
      <c r="G4" s="67" t="s">
        <v>12</v>
      </c>
      <c r="H4" s="69">
        <v>1</v>
      </c>
      <c r="I4" s="70">
        <v>29763.56</v>
      </c>
      <c r="J4" s="70">
        <f t="shared" ref="J4" si="0">H4*I4</f>
        <v>29763.56</v>
      </c>
      <c r="K4" s="67">
        <v>29763.56</v>
      </c>
    </row>
    <row r="5" spans="1:11">
      <c r="A5" s="72"/>
      <c r="B5" s="73"/>
      <c r="C5" s="74"/>
      <c r="D5" s="72"/>
      <c r="E5" s="72"/>
      <c r="F5" s="73" t="s">
        <v>14</v>
      </c>
      <c r="G5" s="73"/>
      <c r="H5" s="75"/>
      <c r="I5" s="76"/>
      <c r="J5" s="76">
        <f>SUM(J3:J4)</f>
        <v>52085.97</v>
      </c>
      <c r="K5" s="76"/>
    </row>
    <row r="6" spans="1:11">
      <c r="A6" s="77">
        <v>2</v>
      </c>
      <c r="B6" s="78" t="s">
        <v>347</v>
      </c>
      <c r="C6" s="71" t="s">
        <v>115</v>
      </c>
      <c r="D6" s="68">
        <v>611010</v>
      </c>
      <c r="E6" s="68">
        <v>1014</v>
      </c>
      <c r="F6" s="67" t="s">
        <v>346</v>
      </c>
      <c r="G6" s="67" t="s">
        <v>12</v>
      </c>
      <c r="H6" s="69">
        <v>2</v>
      </c>
      <c r="I6" s="70">
        <v>29763.56</v>
      </c>
      <c r="J6" s="70">
        <f>H6*I6</f>
        <v>59527.12</v>
      </c>
      <c r="K6" s="78">
        <v>59527.12</v>
      </c>
    </row>
    <row r="7" spans="1:11">
      <c r="A7" s="72"/>
      <c r="B7" s="73"/>
      <c r="C7" s="74"/>
      <c r="D7" s="72"/>
      <c r="E7" s="72"/>
      <c r="F7" s="73" t="s">
        <v>14</v>
      </c>
      <c r="G7" s="73"/>
      <c r="H7" s="75"/>
      <c r="I7" s="76"/>
      <c r="J7" s="76">
        <f>SUM(J6)</f>
        <v>59527.12</v>
      </c>
      <c r="K7" s="73"/>
    </row>
    <row r="8" spans="1:11">
      <c r="A8" s="68">
        <v>3</v>
      </c>
      <c r="B8" s="67" t="s">
        <v>348</v>
      </c>
      <c r="C8" s="71" t="s">
        <v>115</v>
      </c>
      <c r="D8" s="68">
        <v>611010</v>
      </c>
      <c r="E8" s="68">
        <v>1014</v>
      </c>
      <c r="F8" s="67" t="s">
        <v>160</v>
      </c>
      <c r="G8" s="67" t="s">
        <v>12</v>
      </c>
      <c r="H8" s="69">
        <v>1</v>
      </c>
      <c r="I8" s="70">
        <v>22322.41</v>
      </c>
      <c r="J8" s="70">
        <f>H8*I8</f>
        <v>22322.41</v>
      </c>
      <c r="K8" s="70">
        <v>22322.41</v>
      </c>
    </row>
    <row r="9" spans="1:11">
      <c r="A9" s="68"/>
      <c r="B9" s="67" t="s">
        <v>348</v>
      </c>
      <c r="C9" s="71" t="s">
        <v>115</v>
      </c>
      <c r="D9" s="68">
        <v>611010</v>
      </c>
      <c r="E9" s="68">
        <v>1014</v>
      </c>
      <c r="F9" s="67" t="s">
        <v>346</v>
      </c>
      <c r="G9" s="67" t="s">
        <v>12</v>
      </c>
      <c r="H9" s="69">
        <v>1</v>
      </c>
      <c r="I9" s="70">
        <v>29763.56</v>
      </c>
      <c r="J9" s="70">
        <f t="shared" ref="J9" si="1">H9*I9</f>
        <v>29763.56</v>
      </c>
      <c r="K9" s="70">
        <v>29763.56</v>
      </c>
    </row>
    <row r="10" spans="1:11">
      <c r="A10" s="72"/>
      <c r="B10" s="73"/>
      <c r="C10" s="74"/>
      <c r="D10" s="72"/>
      <c r="E10" s="72"/>
      <c r="F10" s="73" t="s">
        <v>14</v>
      </c>
      <c r="G10" s="73"/>
      <c r="H10" s="75"/>
      <c r="I10" s="76"/>
      <c r="J10" s="76">
        <f>SUM(J8:J9)</f>
        <v>52085.97</v>
      </c>
      <c r="K10" s="73"/>
    </row>
    <row r="11" spans="1:11">
      <c r="A11" s="68">
        <v>4</v>
      </c>
      <c r="B11" s="67" t="s">
        <v>170</v>
      </c>
      <c r="C11" s="71" t="s">
        <v>115</v>
      </c>
      <c r="D11" s="68">
        <v>611010</v>
      </c>
      <c r="E11" s="68">
        <v>1014</v>
      </c>
      <c r="F11" s="67" t="s">
        <v>160</v>
      </c>
      <c r="G11" s="67" t="s">
        <v>12</v>
      </c>
      <c r="H11" s="69">
        <v>1</v>
      </c>
      <c r="I11" s="70">
        <v>22322.41</v>
      </c>
      <c r="J11" s="70">
        <f>H11*I11</f>
        <v>22322.41</v>
      </c>
      <c r="K11" s="70">
        <v>22322.41</v>
      </c>
    </row>
    <row r="12" spans="1:11">
      <c r="A12" s="68"/>
      <c r="B12" s="67" t="s">
        <v>170</v>
      </c>
      <c r="C12" s="71" t="s">
        <v>115</v>
      </c>
      <c r="D12" s="68">
        <v>611010</v>
      </c>
      <c r="E12" s="68">
        <v>1014</v>
      </c>
      <c r="F12" s="67" t="s">
        <v>346</v>
      </c>
      <c r="G12" s="67" t="s">
        <v>12</v>
      </c>
      <c r="H12" s="69">
        <v>1</v>
      </c>
      <c r="I12" s="70">
        <v>29763.56</v>
      </c>
      <c r="J12" s="70">
        <f t="shared" ref="J12" si="2">H12*I12</f>
        <v>29763.56</v>
      </c>
      <c r="K12" s="70">
        <v>29763.56</v>
      </c>
    </row>
    <row r="13" spans="1:11">
      <c r="A13" s="72"/>
      <c r="B13" s="73"/>
      <c r="C13" s="74"/>
      <c r="D13" s="72"/>
      <c r="E13" s="72"/>
      <c r="F13" s="73" t="s">
        <v>14</v>
      </c>
      <c r="G13" s="73"/>
      <c r="H13" s="75"/>
      <c r="I13" s="76"/>
      <c r="J13" s="76">
        <f>SUM(J11:J12)</f>
        <v>52085.97</v>
      </c>
      <c r="K13" s="73"/>
    </row>
    <row r="14" spans="1:11">
      <c r="A14" s="77">
        <v>5</v>
      </c>
      <c r="B14" s="78" t="s">
        <v>172</v>
      </c>
      <c r="C14" s="71" t="s">
        <v>115</v>
      </c>
      <c r="D14" s="68">
        <v>611010</v>
      </c>
      <c r="E14" s="68">
        <v>1014</v>
      </c>
      <c r="F14" s="67" t="s">
        <v>160</v>
      </c>
      <c r="G14" s="67" t="s">
        <v>12</v>
      </c>
      <c r="H14" s="69">
        <v>1</v>
      </c>
      <c r="I14" s="70">
        <v>22322.41</v>
      </c>
      <c r="J14" s="70">
        <f>H14*I14</f>
        <v>22322.41</v>
      </c>
      <c r="K14" s="79">
        <v>22322.41</v>
      </c>
    </row>
    <row r="15" spans="1:11">
      <c r="A15" s="77"/>
      <c r="B15" s="78" t="s">
        <v>172</v>
      </c>
      <c r="C15" s="71" t="s">
        <v>115</v>
      </c>
      <c r="D15" s="68">
        <v>611010</v>
      </c>
      <c r="E15" s="68">
        <v>1014</v>
      </c>
      <c r="F15" s="67" t="s">
        <v>346</v>
      </c>
      <c r="G15" s="67" t="s">
        <v>12</v>
      </c>
      <c r="H15" s="69">
        <v>1</v>
      </c>
      <c r="I15" s="70">
        <v>29763.56</v>
      </c>
      <c r="J15" s="70">
        <f>29763.56</f>
        <v>29763.56</v>
      </c>
      <c r="K15" s="79">
        <v>29763.56</v>
      </c>
    </row>
    <row r="16" spans="1:11">
      <c r="A16" s="72"/>
      <c r="B16" s="73"/>
      <c r="C16" s="74"/>
      <c r="D16" s="72"/>
      <c r="E16" s="72"/>
      <c r="F16" s="73" t="s">
        <v>14</v>
      </c>
      <c r="G16" s="73"/>
      <c r="H16" s="75"/>
      <c r="I16" s="76"/>
      <c r="J16" s="76">
        <f>SUM(J14:J15)</f>
        <v>52085.97</v>
      </c>
      <c r="K16" s="73"/>
    </row>
    <row r="17" spans="1:12">
      <c r="A17" s="183" t="s">
        <v>349</v>
      </c>
      <c r="B17" s="184"/>
      <c r="C17" s="80"/>
      <c r="D17" s="81"/>
      <c r="E17" s="81"/>
      <c r="F17" s="80"/>
      <c r="G17" s="80"/>
      <c r="H17" s="82"/>
      <c r="I17" s="83"/>
      <c r="J17" s="83">
        <f>J16+J13+J10+J7+J5</f>
        <v>267871</v>
      </c>
      <c r="K17" s="80"/>
      <c r="L17" s="84"/>
    </row>
    <row r="18" spans="1:12" ht="31.5" hidden="1">
      <c r="A18" s="77"/>
      <c r="B18" s="78" t="s">
        <v>113</v>
      </c>
      <c r="C18" s="71" t="s">
        <v>166</v>
      </c>
      <c r="D18" s="68">
        <v>617520</v>
      </c>
      <c r="E18" s="68">
        <v>1113</v>
      </c>
      <c r="F18" s="67"/>
      <c r="G18" s="67" t="s">
        <v>12</v>
      </c>
      <c r="H18" s="69"/>
      <c r="I18" s="79"/>
      <c r="J18" s="79">
        <f>H18*I18</f>
        <v>0</v>
      </c>
      <c r="K18" s="78"/>
    </row>
    <row r="19" spans="1:12" hidden="1">
      <c r="A19" s="72"/>
      <c r="B19" s="73"/>
      <c r="C19" s="73"/>
      <c r="D19" s="72"/>
      <c r="E19" s="72"/>
      <c r="F19" s="73"/>
      <c r="G19" s="73"/>
      <c r="H19" s="75"/>
      <c r="I19" s="76"/>
      <c r="J19" s="83">
        <f>SUM(J18)</f>
        <v>0</v>
      </c>
      <c r="K19" s="73"/>
    </row>
    <row r="20" spans="1:12">
      <c r="A20" s="81"/>
      <c r="B20" s="80"/>
      <c r="C20" s="80" t="s">
        <v>307</v>
      </c>
      <c r="D20" s="81"/>
      <c r="E20" s="81"/>
      <c r="F20" s="80"/>
      <c r="G20" s="80"/>
      <c r="H20" s="82"/>
      <c r="I20" s="83"/>
      <c r="J20" s="85">
        <f>J19+J17</f>
        <v>267871</v>
      </c>
      <c r="K20" s="80"/>
    </row>
    <row r="21" spans="1:12">
      <c r="J21" s="84">
        <f>J20+'Березень КЗШ '!J284</f>
        <v>1940718.7439999999</v>
      </c>
    </row>
    <row r="22" spans="1:12">
      <c r="B22" s="65" t="s">
        <v>77</v>
      </c>
    </row>
  </sheetData>
  <mergeCells count="2">
    <mergeCell ref="A1:K1"/>
    <mergeCell ref="A17:B1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Q230"/>
  <sheetViews>
    <sheetView view="pageBreakPreview" topLeftCell="A183" zoomScale="95" zoomScaleNormal="77" zoomScaleSheetLayoutView="95" workbookViewId="0">
      <selection activeCell="H202" sqref="H202:H204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19.28515625" style="38" customWidth="1"/>
    <col min="5" max="5" width="14.28515625" style="38" customWidth="1"/>
    <col min="6" max="6" width="10.28515625" style="62" hidden="1" customWidth="1"/>
    <col min="7" max="7" width="19.140625" style="62" customWidth="1"/>
    <col min="8" max="8" width="37.140625" style="38" customWidth="1"/>
    <col min="9" max="9" width="11.85546875" style="38" customWidth="1"/>
    <col min="10" max="10" width="9.140625" style="64" customWidth="1"/>
    <col min="11" max="11" width="14.7109375" style="44" customWidth="1"/>
    <col min="12" max="12" width="13.85546875" style="44" customWidth="1"/>
    <col min="13" max="13" width="22.85546875" style="38" hidden="1" customWidth="1"/>
    <col min="14" max="14" width="20.7109375" style="38" customWidth="1"/>
    <col min="15" max="16384" width="9.140625" style="38"/>
  </cols>
  <sheetData>
    <row r="1" spans="1:14" ht="18.75">
      <c r="A1" s="179" t="s">
        <v>408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4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  <c r="M2" s="89" t="s">
        <v>67</v>
      </c>
    </row>
    <row r="3" spans="1:14">
      <c r="A3" s="40">
        <v>1</v>
      </c>
      <c r="B3" s="39" t="s">
        <v>68</v>
      </c>
      <c r="C3" s="43" t="s">
        <v>115</v>
      </c>
      <c r="D3" s="43" t="s">
        <v>417</v>
      </c>
      <c r="E3" s="43">
        <v>611021</v>
      </c>
      <c r="F3" s="40">
        <v>3110</v>
      </c>
      <c r="G3" s="40">
        <v>1014</v>
      </c>
      <c r="H3" s="39" t="s">
        <v>409</v>
      </c>
      <c r="I3" s="39" t="s">
        <v>12</v>
      </c>
      <c r="J3" s="41">
        <v>2</v>
      </c>
      <c r="K3" s="42">
        <v>79120</v>
      </c>
      <c r="L3" s="42">
        <v>158240</v>
      </c>
      <c r="M3" s="42" t="s">
        <v>458</v>
      </c>
    </row>
    <row r="4" spans="1:14">
      <c r="A4" s="40">
        <v>2</v>
      </c>
      <c r="B4" s="39" t="s">
        <v>68</v>
      </c>
      <c r="C4" s="43" t="s">
        <v>410</v>
      </c>
      <c r="D4" s="43" t="s">
        <v>457</v>
      </c>
      <c r="E4" s="43">
        <v>613230</v>
      </c>
      <c r="F4" s="40">
        <v>2230</v>
      </c>
      <c r="G4" s="40" t="s">
        <v>411</v>
      </c>
      <c r="H4" s="39" t="s">
        <v>413</v>
      </c>
      <c r="I4" s="39" t="s">
        <v>12</v>
      </c>
      <c r="J4" s="41">
        <v>10</v>
      </c>
      <c r="K4" s="42">
        <v>250</v>
      </c>
      <c r="L4" s="42">
        <v>2500</v>
      </c>
      <c r="M4" s="39" t="s">
        <v>459</v>
      </c>
    </row>
    <row r="5" spans="1:14">
      <c r="A5" s="40">
        <v>3</v>
      </c>
      <c r="B5" s="39" t="s">
        <v>68</v>
      </c>
      <c r="C5" s="43" t="s">
        <v>258</v>
      </c>
      <c r="D5" s="43" t="s">
        <v>258</v>
      </c>
      <c r="E5" s="43">
        <v>611021</v>
      </c>
      <c r="F5" s="40">
        <v>2210</v>
      </c>
      <c r="G5" s="40">
        <v>1113</v>
      </c>
      <c r="H5" s="39" t="s">
        <v>414</v>
      </c>
      <c r="I5" s="39" t="s">
        <v>12</v>
      </c>
      <c r="J5" s="41">
        <v>8</v>
      </c>
      <c r="K5" s="42">
        <v>1950</v>
      </c>
      <c r="L5" s="42">
        <v>15600</v>
      </c>
      <c r="M5" s="39" t="s">
        <v>459</v>
      </c>
    </row>
    <row r="6" spans="1:14">
      <c r="A6" s="40">
        <v>4</v>
      </c>
      <c r="B6" s="39" t="s">
        <v>68</v>
      </c>
      <c r="C6" s="43" t="s">
        <v>258</v>
      </c>
      <c r="D6" s="43" t="s">
        <v>258</v>
      </c>
      <c r="E6" s="43">
        <v>611021</v>
      </c>
      <c r="F6" s="40">
        <v>2210</v>
      </c>
      <c r="G6" s="40">
        <v>1113</v>
      </c>
      <c r="H6" s="39" t="s">
        <v>415</v>
      </c>
      <c r="I6" s="39" t="s">
        <v>12</v>
      </c>
      <c r="J6" s="41">
        <v>11</v>
      </c>
      <c r="K6" s="42">
        <v>2700</v>
      </c>
      <c r="L6" s="42">
        <v>29700</v>
      </c>
      <c r="M6" s="39" t="s">
        <v>459</v>
      </c>
    </row>
    <row r="7" spans="1:14">
      <c r="A7" s="40">
        <v>5</v>
      </c>
      <c r="B7" s="39" t="s">
        <v>68</v>
      </c>
      <c r="C7" s="43" t="s">
        <v>258</v>
      </c>
      <c r="D7" s="43" t="s">
        <v>258</v>
      </c>
      <c r="E7" s="43">
        <v>611021</v>
      </c>
      <c r="F7" s="40">
        <v>2210</v>
      </c>
      <c r="G7" s="40">
        <v>1113</v>
      </c>
      <c r="H7" s="39" t="s">
        <v>416</v>
      </c>
      <c r="I7" s="39" t="s">
        <v>12</v>
      </c>
      <c r="J7" s="41">
        <v>1</v>
      </c>
      <c r="K7" s="42">
        <v>10073.89</v>
      </c>
      <c r="L7" s="42">
        <v>10073.89</v>
      </c>
      <c r="M7" s="39" t="s">
        <v>459</v>
      </c>
    </row>
    <row r="8" spans="1:14">
      <c r="A8" s="40">
        <v>6</v>
      </c>
      <c r="B8" s="39" t="s">
        <v>68</v>
      </c>
      <c r="C8" s="43" t="s">
        <v>417</v>
      </c>
      <c r="D8" s="43" t="s">
        <v>417</v>
      </c>
      <c r="E8" s="43">
        <v>611021</v>
      </c>
      <c r="F8" s="40">
        <v>2210</v>
      </c>
      <c r="G8" s="40">
        <v>1113</v>
      </c>
      <c r="H8" s="39" t="s">
        <v>418</v>
      </c>
      <c r="I8" s="39" t="s">
        <v>12</v>
      </c>
      <c r="J8" s="53">
        <v>4</v>
      </c>
      <c r="K8" s="52">
        <v>11160.69</v>
      </c>
      <c r="L8" s="52">
        <v>44642.76</v>
      </c>
      <c r="M8" s="39" t="s">
        <v>459</v>
      </c>
    </row>
    <row r="9" spans="1:14">
      <c r="A9" s="40">
        <v>7</v>
      </c>
      <c r="B9" s="39" t="s">
        <v>68</v>
      </c>
      <c r="C9" s="43" t="s">
        <v>417</v>
      </c>
      <c r="D9" s="43" t="s">
        <v>417</v>
      </c>
      <c r="E9" s="43">
        <v>611021</v>
      </c>
      <c r="F9" s="40">
        <v>2210</v>
      </c>
      <c r="G9" s="40">
        <v>1113</v>
      </c>
      <c r="H9" s="39" t="s">
        <v>419</v>
      </c>
      <c r="I9" s="39" t="s">
        <v>12</v>
      </c>
      <c r="J9" s="53">
        <v>2</v>
      </c>
      <c r="K9" s="52">
        <v>1000</v>
      </c>
      <c r="L9" s="52">
        <v>2000</v>
      </c>
      <c r="M9" s="39" t="s">
        <v>459</v>
      </c>
    </row>
    <row r="10" spans="1:14">
      <c r="A10" s="40">
        <v>8</v>
      </c>
      <c r="B10" s="39" t="s">
        <v>68</v>
      </c>
      <c r="C10" s="43" t="s">
        <v>417</v>
      </c>
      <c r="D10" s="43" t="s">
        <v>417</v>
      </c>
      <c r="E10" s="43">
        <v>611021</v>
      </c>
      <c r="F10" s="40">
        <v>2210</v>
      </c>
      <c r="G10" s="40">
        <v>1113</v>
      </c>
      <c r="H10" s="39" t="s">
        <v>420</v>
      </c>
      <c r="I10" s="39" t="s">
        <v>12</v>
      </c>
      <c r="J10" s="53">
        <v>1</v>
      </c>
      <c r="K10" s="52">
        <v>850</v>
      </c>
      <c r="L10" s="52">
        <v>850</v>
      </c>
      <c r="M10" s="39" t="s">
        <v>459</v>
      </c>
    </row>
    <row r="11" spans="1:14">
      <c r="A11" s="40">
        <v>9</v>
      </c>
      <c r="B11" s="39" t="s">
        <v>68</v>
      </c>
      <c r="C11" s="43" t="s">
        <v>417</v>
      </c>
      <c r="D11" s="43" t="s">
        <v>417</v>
      </c>
      <c r="E11" s="43">
        <v>611021</v>
      </c>
      <c r="F11" s="40">
        <v>2210</v>
      </c>
      <c r="G11" s="40">
        <v>1113</v>
      </c>
      <c r="H11" s="39" t="s">
        <v>421</v>
      </c>
      <c r="I11" s="39" t="s">
        <v>12</v>
      </c>
      <c r="J11" s="53">
        <v>1</v>
      </c>
      <c r="K11" s="52">
        <v>3586.56</v>
      </c>
      <c r="L11" s="52">
        <v>3586.56</v>
      </c>
      <c r="M11" s="39" t="s">
        <v>459</v>
      </c>
    </row>
    <row r="12" spans="1:14">
      <c r="A12" s="40">
        <v>10</v>
      </c>
      <c r="B12" s="39" t="s">
        <v>68</v>
      </c>
      <c r="C12" s="43" t="s">
        <v>417</v>
      </c>
      <c r="D12" s="43" t="s">
        <v>417</v>
      </c>
      <c r="E12" s="43">
        <v>611021</v>
      </c>
      <c r="F12" s="40">
        <v>2210</v>
      </c>
      <c r="G12" s="40">
        <v>1113</v>
      </c>
      <c r="H12" s="39" t="s">
        <v>422</v>
      </c>
      <c r="I12" s="39" t="s">
        <v>12</v>
      </c>
      <c r="J12" s="53">
        <v>2</v>
      </c>
      <c r="K12" s="52">
        <v>4973.57</v>
      </c>
      <c r="L12" s="52">
        <v>9947.14</v>
      </c>
      <c r="M12" s="39" t="s">
        <v>459</v>
      </c>
    </row>
    <row r="13" spans="1:14">
      <c r="A13" s="40">
        <v>11</v>
      </c>
      <c r="B13" s="39" t="s">
        <v>68</v>
      </c>
      <c r="C13" s="43" t="s">
        <v>417</v>
      </c>
      <c r="D13" s="43" t="s">
        <v>417</v>
      </c>
      <c r="E13" s="43">
        <v>611021</v>
      </c>
      <c r="F13" s="40">
        <v>2210</v>
      </c>
      <c r="G13" s="40">
        <v>1113</v>
      </c>
      <c r="H13" s="39" t="s">
        <v>80</v>
      </c>
      <c r="I13" s="39" t="s">
        <v>12</v>
      </c>
      <c r="J13" s="53">
        <v>1</v>
      </c>
      <c r="K13" s="52">
        <v>20300</v>
      </c>
      <c r="L13" s="52">
        <v>20300</v>
      </c>
      <c r="M13" s="39" t="s">
        <v>459</v>
      </c>
      <c r="N13" s="44"/>
    </row>
    <row r="14" spans="1:14">
      <c r="A14" s="40">
        <v>12</v>
      </c>
      <c r="B14" s="39" t="s">
        <v>68</v>
      </c>
      <c r="C14" s="43" t="s">
        <v>417</v>
      </c>
      <c r="D14" s="43" t="s">
        <v>417</v>
      </c>
      <c r="E14" s="43">
        <v>611021</v>
      </c>
      <c r="F14" s="40">
        <v>2210</v>
      </c>
      <c r="G14" s="40">
        <v>1113</v>
      </c>
      <c r="H14" s="39" t="s">
        <v>435</v>
      </c>
      <c r="I14" s="39" t="s">
        <v>12</v>
      </c>
      <c r="J14" s="53">
        <v>3</v>
      </c>
      <c r="K14" s="52">
        <v>3614.58</v>
      </c>
      <c r="L14" s="52">
        <v>10843.74</v>
      </c>
      <c r="M14" s="39" t="s">
        <v>459</v>
      </c>
      <c r="N14" s="44"/>
    </row>
    <row r="15" spans="1:14">
      <c r="A15" s="40">
        <v>13</v>
      </c>
      <c r="B15" s="39" t="s">
        <v>68</v>
      </c>
      <c r="C15" s="43" t="s">
        <v>417</v>
      </c>
      <c r="D15" s="43" t="s">
        <v>417</v>
      </c>
      <c r="E15" s="43">
        <v>611021</v>
      </c>
      <c r="F15" s="40">
        <v>2210</v>
      </c>
      <c r="G15" s="40">
        <v>1113</v>
      </c>
      <c r="H15" s="39" t="s">
        <v>436</v>
      </c>
      <c r="I15" s="39" t="s">
        <v>12</v>
      </c>
      <c r="J15" s="53">
        <v>6</v>
      </c>
      <c r="K15" s="52">
        <v>412.19</v>
      </c>
      <c r="L15" s="52">
        <v>2473.14</v>
      </c>
      <c r="M15" s="39" t="s">
        <v>459</v>
      </c>
      <c r="N15" s="44"/>
    </row>
    <row r="16" spans="1:14">
      <c r="A16" s="40">
        <v>14</v>
      </c>
      <c r="B16" s="39" t="s">
        <v>68</v>
      </c>
      <c r="C16" s="43" t="s">
        <v>417</v>
      </c>
      <c r="D16" s="43" t="s">
        <v>417</v>
      </c>
      <c r="E16" s="43">
        <v>611021</v>
      </c>
      <c r="F16" s="40">
        <v>2210</v>
      </c>
      <c r="G16" s="40">
        <v>1113</v>
      </c>
      <c r="H16" s="39" t="s">
        <v>437</v>
      </c>
      <c r="I16" s="39" t="s">
        <v>12</v>
      </c>
      <c r="J16" s="53">
        <v>5</v>
      </c>
      <c r="K16" s="52">
        <v>567.37</v>
      </c>
      <c r="L16" s="52">
        <v>2836.85</v>
      </c>
      <c r="M16" s="39" t="s">
        <v>459</v>
      </c>
      <c r="N16" s="44"/>
    </row>
    <row r="17" spans="1:14">
      <c r="A17" s="40">
        <v>15</v>
      </c>
      <c r="B17" s="39" t="s">
        <v>68</v>
      </c>
      <c r="C17" s="43" t="s">
        <v>417</v>
      </c>
      <c r="D17" s="43" t="s">
        <v>417</v>
      </c>
      <c r="E17" s="43">
        <v>611021</v>
      </c>
      <c r="F17" s="40">
        <v>2210</v>
      </c>
      <c r="G17" s="40">
        <v>1113</v>
      </c>
      <c r="H17" s="39" t="s">
        <v>61</v>
      </c>
      <c r="I17" s="39" t="s">
        <v>12</v>
      </c>
      <c r="J17" s="53">
        <v>5</v>
      </c>
      <c r="K17" s="52">
        <v>1443.88</v>
      </c>
      <c r="L17" s="52">
        <v>7219.4</v>
      </c>
      <c r="M17" s="39" t="s">
        <v>459</v>
      </c>
      <c r="N17" s="44"/>
    </row>
    <row r="18" spans="1:14">
      <c r="A18" s="40">
        <v>16</v>
      </c>
      <c r="B18" s="39" t="s">
        <v>68</v>
      </c>
      <c r="C18" s="43" t="s">
        <v>417</v>
      </c>
      <c r="D18" s="43" t="s">
        <v>417</v>
      </c>
      <c r="E18" s="43">
        <v>611021</v>
      </c>
      <c r="F18" s="40">
        <v>2210</v>
      </c>
      <c r="G18" s="40">
        <v>1113</v>
      </c>
      <c r="H18" s="39" t="s">
        <v>438</v>
      </c>
      <c r="I18" s="39" t="s">
        <v>12</v>
      </c>
      <c r="J18" s="53">
        <v>12</v>
      </c>
      <c r="K18" s="52">
        <v>3033.73</v>
      </c>
      <c r="L18" s="52">
        <v>36404.76</v>
      </c>
      <c r="M18" s="39" t="s">
        <v>459</v>
      </c>
      <c r="N18" s="44"/>
    </row>
    <row r="19" spans="1:14">
      <c r="A19" s="40">
        <v>17</v>
      </c>
      <c r="B19" s="39" t="s">
        <v>68</v>
      </c>
      <c r="C19" s="43" t="s">
        <v>417</v>
      </c>
      <c r="D19" s="43" t="s">
        <v>417</v>
      </c>
      <c r="E19" s="43">
        <v>611021</v>
      </c>
      <c r="F19" s="40">
        <v>2210</v>
      </c>
      <c r="G19" s="40">
        <v>1113</v>
      </c>
      <c r="H19" s="39" t="s">
        <v>439</v>
      </c>
      <c r="I19" s="39" t="s">
        <v>12</v>
      </c>
      <c r="J19" s="53">
        <v>1</v>
      </c>
      <c r="K19" s="52">
        <v>185.9</v>
      </c>
      <c r="L19" s="52">
        <v>185.9</v>
      </c>
      <c r="M19" s="39" t="s">
        <v>459</v>
      </c>
      <c r="N19" s="44"/>
    </row>
    <row r="20" spans="1:14">
      <c r="A20" s="40">
        <v>18</v>
      </c>
      <c r="B20" s="39" t="s">
        <v>68</v>
      </c>
      <c r="C20" s="43" t="s">
        <v>417</v>
      </c>
      <c r="D20" s="43" t="s">
        <v>417</v>
      </c>
      <c r="E20" s="43">
        <v>611021</v>
      </c>
      <c r="F20" s="40">
        <v>2210</v>
      </c>
      <c r="G20" s="40">
        <v>1113</v>
      </c>
      <c r="H20" s="39" t="s">
        <v>440</v>
      </c>
      <c r="I20" s="39" t="s">
        <v>12</v>
      </c>
      <c r="J20" s="53">
        <v>1</v>
      </c>
      <c r="K20" s="52">
        <v>6980</v>
      </c>
      <c r="L20" s="52">
        <v>6980</v>
      </c>
      <c r="M20" s="39" t="s">
        <v>459</v>
      </c>
      <c r="N20" s="44"/>
    </row>
    <row r="21" spans="1:14">
      <c r="A21" s="40">
        <v>19</v>
      </c>
      <c r="B21" s="39" t="s">
        <v>68</v>
      </c>
      <c r="C21" s="43" t="s">
        <v>417</v>
      </c>
      <c r="D21" s="43" t="s">
        <v>417</v>
      </c>
      <c r="E21" s="43">
        <v>611021</v>
      </c>
      <c r="F21" s="40">
        <v>2210</v>
      </c>
      <c r="G21" s="40">
        <v>1113</v>
      </c>
      <c r="H21" s="39" t="s">
        <v>441</v>
      </c>
      <c r="I21" s="39" t="s">
        <v>12</v>
      </c>
      <c r="J21" s="53">
        <v>1</v>
      </c>
      <c r="K21" s="52">
        <v>3255</v>
      </c>
      <c r="L21" s="52">
        <v>3255</v>
      </c>
      <c r="M21" s="39" t="s">
        <v>459</v>
      </c>
      <c r="N21" s="44"/>
    </row>
    <row r="22" spans="1:14">
      <c r="A22" s="40">
        <v>20</v>
      </c>
      <c r="B22" s="39" t="s">
        <v>68</v>
      </c>
      <c r="C22" s="43" t="s">
        <v>417</v>
      </c>
      <c r="D22" s="43" t="s">
        <v>417</v>
      </c>
      <c r="E22" s="43">
        <v>611021</v>
      </c>
      <c r="F22" s="40">
        <v>2210</v>
      </c>
      <c r="G22" s="40">
        <v>1113</v>
      </c>
      <c r="H22" s="39" t="s">
        <v>442</v>
      </c>
      <c r="I22" s="39" t="s">
        <v>12</v>
      </c>
      <c r="J22" s="53">
        <v>1</v>
      </c>
      <c r="K22" s="52">
        <v>3488</v>
      </c>
      <c r="L22" s="52">
        <v>3488</v>
      </c>
      <c r="M22" s="39" t="s">
        <v>459</v>
      </c>
      <c r="N22" s="44"/>
    </row>
    <row r="23" spans="1:14">
      <c r="A23" s="40">
        <v>21</v>
      </c>
      <c r="B23" s="39" t="s">
        <v>68</v>
      </c>
      <c r="C23" s="43" t="s">
        <v>417</v>
      </c>
      <c r="D23" s="43" t="s">
        <v>417</v>
      </c>
      <c r="E23" s="43">
        <v>611021</v>
      </c>
      <c r="F23" s="40">
        <v>2210</v>
      </c>
      <c r="G23" s="40">
        <v>1113</v>
      </c>
      <c r="H23" s="39" t="s">
        <v>444</v>
      </c>
      <c r="I23" s="39" t="s">
        <v>12</v>
      </c>
      <c r="J23" s="53">
        <v>1</v>
      </c>
      <c r="K23" s="52">
        <v>1683</v>
      </c>
      <c r="L23" s="52">
        <v>1683</v>
      </c>
      <c r="M23" s="39" t="s">
        <v>459</v>
      </c>
      <c r="N23" s="44"/>
    </row>
    <row r="24" spans="1:14">
      <c r="A24" s="40">
        <v>22</v>
      </c>
      <c r="B24" s="39" t="s">
        <v>68</v>
      </c>
      <c r="C24" s="43" t="s">
        <v>417</v>
      </c>
      <c r="D24" s="43" t="s">
        <v>417</v>
      </c>
      <c r="E24" s="43">
        <v>611021</v>
      </c>
      <c r="F24" s="40">
        <v>2210</v>
      </c>
      <c r="G24" s="40">
        <v>1113</v>
      </c>
      <c r="H24" s="39" t="s">
        <v>443</v>
      </c>
      <c r="I24" s="39" t="s">
        <v>12</v>
      </c>
      <c r="J24" s="53">
        <v>1</v>
      </c>
      <c r="K24" s="52">
        <v>284</v>
      </c>
      <c r="L24" s="52">
        <v>284</v>
      </c>
      <c r="M24" s="39" t="s">
        <v>459</v>
      </c>
      <c r="N24" s="44"/>
    </row>
    <row r="25" spans="1:14">
      <c r="A25" s="40">
        <v>23</v>
      </c>
      <c r="B25" s="39" t="s">
        <v>68</v>
      </c>
      <c r="C25" s="43" t="s">
        <v>417</v>
      </c>
      <c r="D25" s="43" t="s">
        <v>417</v>
      </c>
      <c r="E25" s="43">
        <v>611021</v>
      </c>
      <c r="F25" s="40">
        <v>2210</v>
      </c>
      <c r="G25" s="40">
        <v>1113</v>
      </c>
      <c r="H25" s="39" t="s">
        <v>445</v>
      </c>
      <c r="I25" s="39" t="s">
        <v>12</v>
      </c>
      <c r="J25" s="53">
        <v>1</v>
      </c>
      <c r="K25" s="52">
        <v>2578</v>
      </c>
      <c r="L25" s="52">
        <v>2578</v>
      </c>
      <c r="M25" s="39" t="s">
        <v>459</v>
      </c>
      <c r="N25" s="44"/>
    </row>
    <row r="26" spans="1:14">
      <c r="A26" s="40">
        <v>24</v>
      </c>
      <c r="B26" s="39" t="s">
        <v>68</v>
      </c>
      <c r="C26" s="43" t="s">
        <v>417</v>
      </c>
      <c r="D26" s="43" t="s">
        <v>417</v>
      </c>
      <c r="E26" s="43">
        <v>611021</v>
      </c>
      <c r="F26" s="40">
        <v>2210</v>
      </c>
      <c r="G26" s="40">
        <v>1113</v>
      </c>
      <c r="H26" s="39" t="s">
        <v>445</v>
      </c>
      <c r="I26" s="39" t="s">
        <v>12</v>
      </c>
      <c r="J26" s="53">
        <v>1</v>
      </c>
      <c r="K26" s="52">
        <v>4988</v>
      </c>
      <c r="L26" s="52">
        <v>4988</v>
      </c>
      <c r="M26" s="39" t="s">
        <v>459</v>
      </c>
      <c r="N26" s="44"/>
    </row>
    <row r="27" spans="1:14">
      <c r="A27" s="40">
        <v>25</v>
      </c>
      <c r="B27" s="39" t="s">
        <v>68</v>
      </c>
      <c r="C27" s="43" t="s">
        <v>417</v>
      </c>
      <c r="D27" s="43" t="s">
        <v>417</v>
      </c>
      <c r="E27" s="43">
        <v>611021</v>
      </c>
      <c r="F27" s="40">
        <v>2210</v>
      </c>
      <c r="G27" s="40">
        <v>1113</v>
      </c>
      <c r="H27" s="39" t="s">
        <v>446</v>
      </c>
      <c r="I27" s="39" t="s">
        <v>12</v>
      </c>
      <c r="J27" s="53">
        <v>1</v>
      </c>
      <c r="K27" s="52">
        <v>2078</v>
      </c>
      <c r="L27" s="52">
        <v>2078</v>
      </c>
      <c r="M27" s="39" t="s">
        <v>459</v>
      </c>
      <c r="N27" s="44"/>
    </row>
    <row r="28" spans="1:14">
      <c r="A28" s="40">
        <v>26</v>
      </c>
      <c r="B28" s="39" t="s">
        <v>68</v>
      </c>
      <c r="C28" s="43" t="s">
        <v>417</v>
      </c>
      <c r="D28" s="43" t="s">
        <v>417</v>
      </c>
      <c r="E28" s="43">
        <v>611021</v>
      </c>
      <c r="F28" s="40">
        <v>2210</v>
      </c>
      <c r="G28" s="40">
        <v>1113</v>
      </c>
      <c r="H28" s="39" t="s">
        <v>447</v>
      </c>
      <c r="I28" s="39" t="s">
        <v>12</v>
      </c>
      <c r="J28" s="53">
        <v>1</v>
      </c>
      <c r="K28" s="52">
        <v>3688</v>
      </c>
      <c r="L28" s="52">
        <v>3688</v>
      </c>
      <c r="M28" s="39" t="s">
        <v>459</v>
      </c>
      <c r="N28" s="44"/>
    </row>
    <row r="29" spans="1:14">
      <c r="A29" s="40">
        <v>27</v>
      </c>
      <c r="B29" s="39" t="s">
        <v>68</v>
      </c>
      <c r="C29" s="43" t="s">
        <v>417</v>
      </c>
      <c r="D29" s="43" t="s">
        <v>417</v>
      </c>
      <c r="E29" s="43">
        <v>611021</v>
      </c>
      <c r="F29" s="40">
        <v>2210</v>
      </c>
      <c r="G29" s="40">
        <v>1113</v>
      </c>
      <c r="H29" s="39" t="s">
        <v>448</v>
      </c>
      <c r="I29" s="39" t="s">
        <v>12</v>
      </c>
      <c r="J29" s="53">
        <v>1</v>
      </c>
      <c r="K29" s="52">
        <v>3898</v>
      </c>
      <c r="L29" s="52">
        <v>3898</v>
      </c>
      <c r="M29" s="39" t="s">
        <v>459</v>
      </c>
      <c r="N29" s="44"/>
    </row>
    <row r="30" spans="1:14">
      <c r="A30" s="40">
        <v>28</v>
      </c>
      <c r="B30" s="39" t="s">
        <v>68</v>
      </c>
      <c r="C30" s="43" t="s">
        <v>417</v>
      </c>
      <c r="D30" s="43" t="s">
        <v>417</v>
      </c>
      <c r="E30" s="43">
        <v>611021</v>
      </c>
      <c r="F30" s="40">
        <v>2210</v>
      </c>
      <c r="G30" s="40">
        <v>1113</v>
      </c>
      <c r="H30" s="39" t="s">
        <v>449</v>
      </c>
      <c r="I30" s="39" t="s">
        <v>12</v>
      </c>
      <c r="J30" s="53">
        <v>1</v>
      </c>
      <c r="K30" s="52">
        <v>388</v>
      </c>
      <c r="L30" s="52">
        <v>388</v>
      </c>
      <c r="M30" s="39" t="s">
        <v>459</v>
      </c>
      <c r="N30" s="44"/>
    </row>
    <row r="31" spans="1:14">
      <c r="A31" s="40">
        <v>29</v>
      </c>
      <c r="B31" s="39" t="s">
        <v>68</v>
      </c>
      <c r="C31" s="43" t="s">
        <v>417</v>
      </c>
      <c r="D31" s="43" t="s">
        <v>417</v>
      </c>
      <c r="E31" s="43">
        <v>611021</v>
      </c>
      <c r="F31" s="40">
        <v>2210</v>
      </c>
      <c r="G31" s="40">
        <v>1113</v>
      </c>
      <c r="H31" s="39" t="s">
        <v>450</v>
      </c>
      <c r="I31" s="39" t="s">
        <v>12</v>
      </c>
      <c r="J31" s="53">
        <v>12</v>
      </c>
      <c r="K31" s="52">
        <v>622</v>
      </c>
      <c r="L31" s="52">
        <v>7464</v>
      </c>
      <c r="M31" s="39" t="s">
        <v>459</v>
      </c>
      <c r="N31" s="44"/>
    </row>
    <row r="32" spans="1:14">
      <c r="A32" s="40">
        <v>30</v>
      </c>
      <c r="B32" s="39" t="s">
        <v>68</v>
      </c>
      <c r="C32" s="43" t="s">
        <v>417</v>
      </c>
      <c r="D32" s="43" t="s">
        <v>417</v>
      </c>
      <c r="E32" s="43">
        <v>611021</v>
      </c>
      <c r="F32" s="40">
        <v>2210</v>
      </c>
      <c r="G32" s="40">
        <v>1113</v>
      </c>
      <c r="H32" s="39" t="s">
        <v>451</v>
      </c>
      <c r="I32" s="39" t="s">
        <v>12</v>
      </c>
      <c r="J32" s="53">
        <v>1</v>
      </c>
      <c r="K32" s="52">
        <v>10980</v>
      </c>
      <c r="L32" s="52">
        <v>10980</v>
      </c>
      <c r="M32" s="39" t="s">
        <v>459</v>
      </c>
      <c r="N32" s="44"/>
    </row>
    <row r="33" spans="1:17">
      <c r="A33" s="40">
        <v>31</v>
      </c>
      <c r="B33" s="39" t="s">
        <v>68</v>
      </c>
      <c r="C33" s="43" t="s">
        <v>417</v>
      </c>
      <c r="D33" s="43" t="s">
        <v>417</v>
      </c>
      <c r="E33" s="43">
        <v>611021</v>
      </c>
      <c r="F33" s="40">
        <v>2210</v>
      </c>
      <c r="G33" s="40">
        <v>1113</v>
      </c>
      <c r="H33" s="39" t="s">
        <v>452</v>
      </c>
      <c r="I33" s="39" t="s">
        <v>12</v>
      </c>
      <c r="J33" s="53">
        <v>1</v>
      </c>
      <c r="K33" s="52">
        <v>160</v>
      </c>
      <c r="L33" s="52">
        <v>160</v>
      </c>
      <c r="M33" s="39" t="s">
        <v>459</v>
      </c>
      <c r="N33" s="44"/>
    </row>
    <row r="34" spans="1:17">
      <c r="A34" s="40">
        <v>32</v>
      </c>
      <c r="B34" s="39" t="s">
        <v>68</v>
      </c>
      <c r="C34" s="43" t="s">
        <v>417</v>
      </c>
      <c r="D34" s="43" t="s">
        <v>417</v>
      </c>
      <c r="E34" s="43">
        <v>611021</v>
      </c>
      <c r="F34" s="40">
        <v>2210</v>
      </c>
      <c r="G34" s="40">
        <v>1113</v>
      </c>
      <c r="H34" s="39" t="s">
        <v>453</v>
      </c>
      <c r="I34" s="39" t="s">
        <v>12</v>
      </c>
      <c r="J34" s="53">
        <v>20</v>
      </c>
      <c r="K34" s="52">
        <v>3798</v>
      </c>
      <c r="L34" s="52">
        <v>75960</v>
      </c>
      <c r="M34" s="39" t="s">
        <v>459</v>
      </c>
      <c r="N34" s="44"/>
    </row>
    <row r="35" spans="1:17">
      <c r="A35" s="40">
        <v>33</v>
      </c>
      <c r="B35" s="39" t="s">
        <v>68</v>
      </c>
      <c r="C35" s="43" t="s">
        <v>417</v>
      </c>
      <c r="D35" s="43" t="s">
        <v>417</v>
      </c>
      <c r="E35" s="43">
        <v>613230</v>
      </c>
      <c r="F35" s="40">
        <v>2210</v>
      </c>
      <c r="G35" s="40" t="s">
        <v>11</v>
      </c>
      <c r="H35" s="39" t="s">
        <v>367</v>
      </c>
      <c r="I35" s="39" t="s">
        <v>12</v>
      </c>
      <c r="J35" s="53">
        <v>35</v>
      </c>
      <c r="K35" s="52">
        <v>392.94</v>
      </c>
      <c r="L35" s="52">
        <v>13752.9</v>
      </c>
      <c r="M35" s="39" t="s">
        <v>459</v>
      </c>
    </row>
    <row r="36" spans="1:17">
      <c r="A36" s="40">
        <v>34</v>
      </c>
      <c r="B36" s="39" t="s">
        <v>68</v>
      </c>
      <c r="C36" s="43" t="s">
        <v>417</v>
      </c>
      <c r="D36" s="43" t="s">
        <v>417</v>
      </c>
      <c r="E36" s="43">
        <v>613230</v>
      </c>
      <c r="F36" s="40">
        <v>2210</v>
      </c>
      <c r="G36" s="40" t="s">
        <v>11</v>
      </c>
      <c r="H36" s="39" t="s">
        <v>18</v>
      </c>
      <c r="I36" s="39" t="s">
        <v>12</v>
      </c>
      <c r="J36" s="53">
        <v>15</v>
      </c>
      <c r="K36" s="52">
        <v>150.06</v>
      </c>
      <c r="L36" s="52">
        <v>2250.9</v>
      </c>
      <c r="M36" s="39" t="s">
        <v>459</v>
      </c>
      <c r="Q36" s="40"/>
    </row>
    <row r="37" spans="1:17">
      <c r="A37" s="40">
        <v>35</v>
      </c>
      <c r="B37" s="39" t="s">
        <v>68</v>
      </c>
      <c r="C37" s="43" t="s">
        <v>417</v>
      </c>
      <c r="D37" s="43" t="s">
        <v>417</v>
      </c>
      <c r="E37" s="43">
        <v>613230</v>
      </c>
      <c r="F37" s="40">
        <v>2210</v>
      </c>
      <c r="G37" s="40" t="s">
        <v>11</v>
      </c>
      <c r="H37" s="39" t="s">
        <v>423</v>
      </c>
      <c r="I37" s="39" t="s">
        <v>12</v>
      </c>
      <c r="J37" s="53">
        <v>10</v>
      </c>
      <c r="K37" s="52">
        <v>106.62</v>
      </c>
      <c r="L37" s="52">
        <v>1066.2</v>
      </c>
      <c r="M37" s="39" t="s">
        <v>459</v>
      </c>
    </row>
    <row r="38" spans="1:17">
      <c r="A38" s="40">
        <v>36</v>
      </c>
      <c r="B38" s="39" t="s">
        <v>68</v>
      </c>
      <c r="C38" s="43" t="s">
        <v>417</v>
      </c>
      <c r="D38" s="43" t="s">
        <v>417</v>
      </c>
      <c r="E38" s="43">
        <v>613230</v>
      </c>
      <c r="F38" s="40">
        <v>2210</v>
      </c>
      <c r="G38" s="40" t="s">
        <v>11</v>
      </c>
      <c r="H38" s="39" t="s">
        <v>22</v>
      </c>
      <c r="I38" s="39" t="s">
        <v>21</v>
      </c>
      <c r="J38" s="53">
        <v>10</v>
      </c>
      <c r="K38" s="52">
        <v>308.16000000000003</v>
      </c>
      <c r="L38" s="52">
        <v>3081.6</v>
      </c>
      <c r="M38" s="39" t="s">
        <v>459</v>
      </c>
    </row>
    <row r="39" spans="1:17">
      <c r="A39" s="40">
        <v>37</v>
      </c>
      <c r="B39" s="39" t="s">
        <v>68</v>
      </c>
      <c r="C39" s="43" t="s">
        <v>417</v>
      </c>
      <c r="D39" s="43" t="s">
        <v>417</v>
      </c>
      <c r="E39" s="43">
        <v>613230</v>
      </c>
      <c r="F39" s="40">
        <v>2210</v>
      </c>
      <c r="G39" s="40" t="s">
        <v>11</v>
      </c>
      <c r="H39" s="39" t="s">
        <v>424</v>
      </c>
      <c r="I39" s="39" t="s">
        <v>23</v>
      </c>
      <c r="J39" s="53">
        <v>80</v>
      </c>
      <c r="K39" s="52">
        <v>25.08</v>
      </c>
      <c r="L39" s="52">
        <v>2006.4</v>
      </c>
      <c r="M39" s="39" t="s">
        <v>459</v>
      </c>
    </row>
    <row r="40" spans="1:17">
      <c r="A40" s="40">
        <v>38</v>
      </c>
      <c r="B40" s="39" t="s">
        <v>68</v>
      </c>
      <c r="C40" s="43" t="s">
        <v>417</v>
      </c>
      <c r="D40" s="43" t="s">
        <v>417</v>
      </c>
      <c r="E40" s="43">
        <v>613230</v>
      </c>
      <c r="F40" s="40">
        <v>2210</v>
      </c>
      <c r="G40" s="40" t="s">
        <v>11</v>
      </c>
      <c r="H40" s="39" t="s">
        <v>425</v>
      </c>
      <c r="I40" s="39" t="s">
        <v>21</v>
      </c>
      <c r="J40" s="53">
        <v>5</v>
      </c>
      <c r="K40" s="52">
        <v>236.04</v>
      </c>
      <c r="L40" s="52">
        <v>1180.2</v>
      </c>
      <c r="M40" s="39" t="s">
        <v>459</v>
      </c>
    </row>
    <row r="41" spans="1:17">
      <c r="A41" s="40">
        <v>39</v>
      </c>
      <c r="B41" s="39" t="s">
        <v>68</v>
      </c>
      <c r="C41" s="43" t="s">
        <v>417</v>
      </c>
      <c r="D41" s="43" t="s">
        <v>417</v>
      </c>
      <c r="E41" s="43">
        <v>613230</v>
      </c>
      <c r="F41" s="40">
        <v>2210</v>
      </c>
      <c r="G41" s="40" t="s">
        <v>11</v>
      </c>
      <c r="H41" s="39" t="s">
        <v>19</v>
      </c>
      <c r="I41" s="39" t="s">
        <v>12</v>
      </c>
      <c r="J41" s="53">
        <v>25</v>
      </c>
      <c r="K41" s="52">
        <v>122.22</v>
      </c>
      <c r="L41" s="52">
        <v>3055.5</v>
      </c>
      <c r="M41" s="39" t="s">
        <v>459</v>
      </c>
    </row>
    <row r="42" spans="1:17">
      <c r="A42" s="40">
        <v>40</v>
      </c>
      <c r="B42" s="39" t="s">
        <v>68</v>
      </c>
      <c r="C42" s="43" t="s">
        <v>417</v>
      </c>
      <c r="D42" s="43" t="s">
        <v>417</v>
      </c>
      <c r="E42" s="43">
        <v>613230</v>
      </c>
      <c r="F42" s="40">
        <v>2210</v>
      </c>
      <c r="G42" s="40" t="s">
        <v>11</v>
      </c>
      <c r="H42" s="39" t="s">
        <v>426</v>
      </c>
      <c r="I42" s="39" t="s">
        <v>12</v>
      </c>
      <c r="J42" s="53">
        <v>20</v>
      </c>
      <c r="K42" s="52">
        <v>82.74</v>
      </c>
      <c r="L42" s="52">
        <v>1654.8</v>
      </c>
      <c r="M42" s="39" t="s">
        <v>459</v>
      </c>
    </row>
    <row r="43" spans="1:17">
      <c r="A43" s="40">
        <v>41</v>
      </c>
      <c r="B43" s="39" t="s">
        <v>68</v>
      </c>
      <c r="C43" s="43" t="s">
        <v>417</v>
      </c>
      <c r="D43" s="43" t="s">
        <v>417</v>
      </c>
      <c r="E43" s="43">
        <v>613230</v>
      </c>
      <c r="F43" s="40">
        <v>2210</v>
      </c>
      <c r="G43" s="40" t="s">
        <v>11</v>
      </c>
      <c r="H43" s="39" t="s">
        <v>427</v>
      </c>
      <c r="I43" s="39" t="s">
        <v>21</v>
      </c>
      <c r="J43" s="53">
        <v>20</v>
      </c>
      <c r="K43" s="52">
        <v>26.82</v>
      </c>
      <c r="L43" s="52">
        <v>536.4</v>
      </c>
      <c r="M43" s="39" t="s">
        <v>459</v>
      </c>
    </row>
    <row r="44" spans="1:17">
      <c r="A44" s="40">
        <v>42</v>
      </c>
      <c r="B44" s="39" t="s">
        <v>68</v>
      </c>
      <c r="C44" s="43" t="s">
        <v>417</v>
      </c>
      <c r="D44" s="43" t="s">
        <v>417</v>
      </c>
      <c r="E44" s="43">
        <v>613230</v>
      </c>
      <c r="F44" s="40">
        <v>2210</v>
      </c>
      <c r="G44" s="40" t="s">
        <v>11</v>
      </c>
      <c r="H44" s="39" t="s">
        <v>428</v>
      </c>
      <c r="I44" s="39" t="s">
        <v>12</v>
      </c>
      <c r="J44" s="53">
        <v>16</v>
      </c>
      <c r="K44" s="52">
        <v>35.64</v>
      </c>
      <c r="L44" s="52">
        <v>570.24</v>
      </c>
      <c r="M44" s="39" t="s">
        <v>459</v>
      </c>
    </row>
    <row r="45" spans="1:17">
      <c r="A45" s="40">
        <v>43</v>
      </c>
      <c r="B45" s="39" t="s">
        <v>68</v>
      </c>
      <c r="C45" s="43" t="s">
        <v>417</v>
      </c>
      <c r="D45" s="43" t="s">
        <v>417</v>
      </c>
      <c r="E45" s="43">
        <v>613230</v>
      </c>
      <c r="F45" s="40">
        <v>2210</v>
      </c>
      <c r="G45" s="40" t="s">
        <v>11</v>
      </c>
      <c r="H45" s="39" t="s">
        <v>429</v>
      </c>
      <c r="I45" s="39" t="s">
        <v>12</v>
      </c>
      <c r="J45" s="53">
        <v>15</v>
      </c>
      <c r="K45" s="52">
        <v>160.74</v>
      </c>
      <c r="L45" s="52">
        <v>2411.1</v>
      </c>
      <c r="M45" s="39" t="s">
        <v>459</v>
      </c>
    </row>
    <row r="46" spans="1:17">
      <c r="A46" s="40">
        <v>44</v>
      </c>
      <c r="B46" s="39" t="s">
        <v>68</v>
      </c>
      <c r="C46" s="43" t="s">
        <v>417</v>
      </c>
      <c r="D46" s="43" t="s">
        <v>417</v>
      </c>
      <c r="E46" s="43">
        <v>613230</v>
      </c>
      <c r="F46" s="40">
        <v>2210</v>
      </c>
      <c r="G46" s="40" t="s">
        <v>11</v>
      </c>
      <c r="H46" s="39" t="s">
        <v>430</v>
      </c>
      <c r="I46" s="39" t="s">
        <v>12</v>
      </c>
      <c r="J46" s="53">
        <v>15</v>
      </c>
      <c r="K46" s="52">
        <v>96.36</v>
      </c>
      <c r="L46" s="52">
        <v>1445.4</v>
      </c>
      <c r="M46" s="39" t="s">
        <v>459</v>
      </c>
    </row>
    <row r="47" spans="1:17">
      <c r="A47" s="40">
        <v>45</v>
      </c>
      <c r="B47" s="39" t="s">
        <v>68</v>
      </c>
      <c r="C47" s="43" t="s">
        <v>417</v>
      </c>
      <c r="D47" s="43" t="s">
        <v>417</v>
      </c>
      <c r="E47" s="43">
        <v>613230</v>
      </c>
      <c r="F47" s="40">
        <v>2210</v>
      </c>
      <c r="G47" s="40" t="s">
        <v>11</v>
      </c>
      <c r="H47" s="39" t="s">
        <v>431</v>
      </c>
      <c r="I47" s="39" t="s">
        <v>21</v>
      </c>
      <c r="J47" s="53">
        <f>2+3+10+10+5+10</f>
        <v>40</v>
      </c>
      <c r="K47" s="52"/>
      <c r="L47" s="52">
        <f>4165.8+3483.3+5229.6+5918.4+1477.44+1156.96</f>
        <v>21431.499999999996</v>
      </c>
      <c r="M47" s="39" t="s">
        <v>459</v>
      </c>
    </row>
    <row r="48" spans="1:17">
      <c r="A48" s="40">
        <v>46</v>
      </c>
      <c r="B48" s="39" t="s">
        <v>68</v>
      </c>
      <c r="C48" s="43" t="s">
        <v>417</v>
      </c>
      <c r="D48" s="43" t="s">
        <v>417</v>
      </c>
      <c r="E48" s="43">
        <v>613230</v>
      </c>
      <c r="F48" s="40">
        <v>2210</v>
      </c>
      <c r="G48" s="40" t="s">
        <v>11</v>
      </c>
      <c r="H48" s="39" t="s">
        <v>432</v>
      </c>
      <c r="I48" s="39" t="s">
        <v>12</v>
      </c>
      <c r="J48" s="53">
        <v>10</v>
      </c>
      <c r="K48" s="52">
        <v>16.440000000000001</v>
      </c>
      <c r="L48" s="52">
        <v>164.4</v>
      </c>
      <c r="M48" s="39" t="s">
        <v>459</v>
      </c>
    </row>
    <row r="49" spans="1:13">
      <c r="A49" s="40">
        <v>47</v>
      </c>
      <c r="B49" s="39" t="s">
        <v>68</v>
      </c>
      <c r="C49" s="43" t="s">
        <v>417</v>
      </c>
      <c r="D49" s="43" t="s">
        <v>417</v>
      </c>
      <c r="E49" s="43">
        <v>613230</v>
      </c>
      <c r="F49" s="40">
        <v>2210</v>
      </c>
      <c r="G49" s="40" t="s">
        <v>11</v>
      </c>
      <c r="H49" s="39" t="s">
        <v>433</v>
      </c>
      <c r="I49" s="39" t="s">
        <v>21</v>
      </c>
      <c r="J49" s="53">
        <v>5</v>
      </c>
      <c r="K49" s="52">
        <v>31.38</v>
      </c>
      <c r="L49" s="52">
        <v>156.9</v>
      </c>
      <c r="M49" s="39" t="s">
        <v>459</v>
      </c>
    </row>
    <row r="50" spans="1:13">
      <c r="A50" s="40">
        <v>48</v>
      </c>
      <c r="B50" s="39" t="s">
        <v>68</v>
      </c>
      <c r="C50" s="43" t="s">
        <v>417</v>
      </c>
      <c r="D50" s="43" t="s">
        <v>417</v>
      </c>
      <c r="E50" s="43">
        <v>613230</v>
      </c>
      <c r="F50" s="40">
        <v>2210</v>
      </c>
      <c r="G50" s="40" t="s">
        <v>11</v>
      </c>
      <c r="H50" s="39" t="s">
        <v>434</v>
      </c>
      <c r="I50" s="39" t="s">
        <v>12</v>
      </c>
      <c r="J50" s="53">
        <v>20</v>
      </c>
      <c r="K50" s="52">
        <v>6.06</v>
      </c>
      <c r="L50" s="52">
        <v>121.2</v>
      </c>
      <c r="M50" s="39" t="s">
        <v>459</v>
      </c>
    </row>
    <row r="51" spans="1:13">
      <c r="A51" s="40">
        <v>49</v>
      </c>
      <c r="B51" s="39" t="s">
        <v>68</v>
      </c>
      <c r="C51" s="43" t="s">
        <v>417</v>
      </c>
      <c r="D51" s="43" t="s">
        <v>417</v>
      </c>
      <c r="E51" s="43">
        <v>613230</v>
      </c>
      <c r="F51" s="40">
        <v>2210</v>
      </c>
      <c r="G51" s="40" t="s">
        <v>11</v>
      </c>
      <c r="H51" s="39" t="s">
        <v>20</v>
      </c>
      <c r="I51" s="39" t="s">
        <v>21</v>
      </c>
      <c r="J51" s="53">
        <v>5</v>
      </c>
      <c r="K51" s="52">
        <v>48.48</v>
      </c>
      <c r="L51" s="52">
        <v>242.4</v>
      </c>
      <c r="M51" s="39" t="s">
        <v>459</v>
      </c>
    </row>
    <row r="52" spans="1:13">
      <c r="A52" s="40">
        <v>50</v>
      </c>
      <c r="B52" s="39" t="s">
        <v>68</v>
      </c>
      <c r="C52" s="43" t="s">
        <v>417</v>
      </c>
      <c r="D52" s="43" t="s">
        <v>417</v>
      </c>
      <c r="E52" s="43">
        <v>613230</v>
      </c>
      <c r="F52" s="40">
        <v>2210</v>
      </c>
      <c r="G52" s="40" t="s">
        <v>11</v>
      </c>
      <c r="H52" s="39" t="s">
        <v>454</v>
      </c>
      <c r="I52" s="39" t="s">
        <v>23</v>
      </c>
      <c r="J52" s="53">
        <v>10</v>
      </c>
      <c r="K52" s="52">
        <v>18.899999999999999</v>
      </c>
      <c r="L52" s="52">
        <v>189</v>
      </c>
      <c r="M52" s="39" t="s">
        <v>459</v>
      </c>
    </row>
    <row r="53" spans="1:13">
      <c r="A53" s="40">
        <v>51</v>
      </c>
      <c r="B53" s="39" t="s">
        <v>68</v>
      </c>
      <c r="C53" s="43" t="s">
        <v>417</v>
      </c>
      <c r="D53" s="43" t="s">
        <v>417</v>
      </c>
      <c r="E53" s="43">
        <v>613230</v>
      </c>
      <c r="F53" s="40">
        <v>2210</v>
      </c>
      <c r="G53" s="40" t="s">
        <v>11</v>
      </c>
      <c r="H53" s="39" t="s">
        <v>302</v>
      </c>
      <c r="I53" s="39" t="s">
        <v>12</v>
      </c>
      <c r="J53" s="53">
        <v>1</v>
      </c>
      <c r="K53" s="52">
        <v>1780</v>
      </c>
      <c r="L53" s="52">
        <v>1780</v>
      </c>
      <c r="M53" s="39" t="s">
        <v>459</v>
      </c>
    </row>
    <row r="54" spans="1:13">
      <c r="A54" s="40">
        <v>52</v>
      </c>
      <c r="B54" s="39" t="s">
        <v>68</v>
      </c>
      <c r="C54" s="43" t="s">
        <v>417</v>
      </c>
      <c r="D54" s="43" t="s">
        <v>417</v>
      </c>
      <c r="E54" s="43">
        <v>613230</v>
      </c>
      <c r="F54" s="40">
        <v>2210</v>
      </c>
      <c r="G54" s="40" t="s">
        <v>11</v>
      </c>
      <c r="H54" s="39" t="s">
        <v>455</v>
      </c>
      <c r="I54" s="39" t="s">
        <v>21</v>
      </c>
      <c r="J54" s="53">
        <v>1</v>
      </c>
      <c r="K54" s="52">
        <v>1006</v>
      </c>
      <c r="L54" s="52">
        <v>1006</v>
      </c>
      <c r="M54" s="39" t="s">
        <v>459</v>
      </c>
    </row>
    <row r="55" spans="1:13">
      <c r="A55" s="45"/>
      <c r="B55" s="46"/>
      <c r="C55" s="47"/>
      <c r="D55" s="47"/>
      <c r="E55" s="47"/>
      <c r="F55" s="45"/>
      <c r="G55" s="45"/>
      <c r="H55" s="46" t="s">
        <v>14</v>
      </c>
      <c r="I55" s="46"/>
      <c r="J55" s="48"/>
      <c r="K55" s="49"/>
      <c r="L55" s="49">
        <f>SUM(L3:L54)</f>
        <v>543379.18000000017</v>
      </c>
      <c r="M55" s="49">
        <f>SUM(M3:M54)</f>
        <v>0</v>
      </c>
    </row>
    <row r="56" spans="1:13">
      <c r="A56" s="50"/>
      <c r="B56" s="51" t="s">
        <v>78</v>
      </c>
      <c r="C56" s="43" t="s">
        <v>115</v>
      </c>
      <c r="D56" s="43" t="s">
        <v>462</v>
      </c>
      <c r="E56" s="43">
        <v>611021</v>
      </c>
      <c r="F56" s="40">
        <v>3110</v>
      </c>
      <c r="G56" s="40">
        <v>1014</v>
      </c>
      <c r="H56" s="39" t="s">
        <v>460</v>
      </c>
      <c r="I56" s="39" t="s">
        <v>12</v>
      </c>
      <c r="J56" s="41">
        <v>1</v>
      </c>
      <c r="K56" s="42">
        <v>50998.33</v>
      </c>
      <c r="L56" s="42">
        <f>J56*K56</f>
        <v>50998.33</v>
      </c>
      <c r="M56" s="42" t="s">
        <v>458</v>
      </c>
    </row>
    <row r="57" spans="1:13">
      <c r="A57" s="45"/>
      <c r="B57" s="46"/>
      <c r="C57" s="47"/>
      <c r="D57" s="47"/>
      <c r="E57" s="47"/>
      <c r="F57" s="45"/>
      <c r="G57" s="45"/>
      <c r="H57" s="46" t="s">
        <v>14</v>
      </c>
      <c r="I57" s="46"/>
      <c r="J57" s="48"/>
      <c r="K57" s="49"/>
      <c r="L57" s="49">
        <f>SUM(L56)</f>
        <v>50998.33</v>
      </c>
      <c r="M57" s="46"/>
    </row>
    <row r="58" spans="1:13">
      <c r="A58" s="40">
        <v>1</v>
      </c>
      <c r="B58" s="39" t="s">
        <v>31</v>
      </c>
      <c r="C58" s="43" t="s">
        <v>115</v>
      </c>
      <c r="D58" s="43" t="s">
        <v>461</v>
      </c>
      <c r="E58" s="43">
        <v>617520</v>
      </c>
      <c r="F58" s="40">
        <v>2210</v>
      </c>
      <c r="G58" s="40">
        <v>1113</v>
      </c>
      <c r="H58" s="39" t="s">
        <v>463</v>
      </c>
      <c r="I58" s="39" t="s">
        <v>12</v>
      </c>
      <c r="J58" s="41">
        <v>1</v>
      </c>
      <c r="K58" s="42">
        <v>6808</v>
      </c>
      <c r="L58" s="42">
        <v>6808</v>
      </c>
      <c r="M58" s="42" t="s">
        <v>458</v>
      </c>
    </row>
    <row r="59" spans="1:13">
      <c r="A59" s="40">
        <v>2</v>
      </c>
      <c r="B59" s="39" t="s">
        <v>31</v>
      </c>
      <c r="C59" s="43" t="s">
        <v>115</v>
      </c>
      <c r="D59" s="43" t="s">
        <v>461</v>
      </c>
      <c r="E59" s="43">
        <v>617520</v>
      </c>
      <c r="F59" s="40">
        <v>2210</v>
      </c>
      <c r="G59" s="40">
        <v>1113</v>
      </c>
      <c r="H59" s="39" t="s">
        <v>464</v>
      </c>
      <c r="I59" s="39" t="s">
        <v>12</v>
      </c>
      <c r="J59" s="41">
        <v>1</v>
      </c>
      <c r="K59" s="42">
        <v>9607.0499999999993</v>
      </c>
      <c r="L59" s="42">
        <v>9607.0499999999993</v>
      </c>
      <c r="M59" s="42" t="s">
        <v>458</v>
      </c>
    </row>
    <row r="60" spans="1:13">
      <c r="A60" s="40">
        <v>3</v>
      </c>
      <c r="B60" s="39" t="s">
        <v>31</v>
      </c>
      <c r="C60" s="43" t="s">
        <v>115</v>
      </c>
      <c r="D60" s="43" t="s">
        <v>465</v>
      </c>
      <c r="E60" s="43">
        <v>611021</v>
      </c>
      <c r="F60" s="40">
        <v>2210</v>
      </c>
      <c r="G60" s="40">
        <v>1113</v>
      </c>
      <c r="H60" s="39" t="s">
        <v>368</v>
      </c>
      <c r="I60" s="39" t="s">
        <v>12</v>
      </c>
      <c r="J60" s="41">
        <v>2</v>
      </c>
      <c r="K60" s="42">
        <v>1850</v>
      </c>
      <c r="L60" s="42">
        <v>3700</v>
      </c>
      <c r="M60" s="42" t="s">
        <v>458</v>
      </c>
    </row>
    <row r="61" spans="1:13">
      <c r="A61" s="40">
        <v>4</v>
      </c>
      <c r="B61" s="39" t="s">
        <v>31</v>
      </c>
      <c r="C61" s="43" t="s">
        <v>115</v>
      </c>
      <c r="D61" s="43" t="s">
        <v>465</v>
      </c>
      <c r="E61" s="43">
        <v>611021</v>
      </c>
      <c r="F61" s="40">
        <v>2210</v>
      </c>
      <c r="G61" s="40">
        <v>1113</v>
      </c>
      <c r="H61" s="51" t="s">
        <v>58</v>
      </c>
      <c r="I61" s="51" t="s">
        <v>12</v>
      </c>
      <c r="J61" s="53">
        <v>1</v>
      </c>
      <c r="K61" s="52">
        <v>2499.21</v>
      </c>
      <c r="L61" s="52">
        <v>2499.21</v>
      </c>
      <c r="M61" s="42" t="s">
        <v>458</v>
      </c>
    </row>
    <row r="62" spans="1:13">
      <c r="A62" s="40">
        <v>5</v>
      </c>
      <c r="B62" s="39" t="s">
        <v>31</v>
      </c>
      <c r="C62" s="43" t="s">
        <v>115</v>
      </c>
      <c r="D62" s="43" t="s">
        <v>465</v>
      </c>
      <c r="E62" s="43">
        <v>611021</v>
      </c>
      <c r="F62" s="40">
        <v>2210</v>
      </c>
      <c r="G62" s="40">
        <v>1113</v>
      </c>
      <c r="H62" s="43" t="s">
        <v>369</v>
      </c>
      <c r="I62" s="51" t="s">
        <v>12</v>
      </c>
      <c r="J62" s="41">
        <v>3</v>
      </c>
      <c r="K62" s="42">
        <v>2860</v>
      </c>
      <c r="L62" s="42">
        <v>8580</v>
      </c>
      <c r="M62" s="42" t="s">
        <v>458</v>
      </c>
    </row>
    <row r="63" spans="1:13">
      <c r="A63" s="40">
        <v>6</v>
      </c>
      <c r="B63" s="39" t="s">
        <v>31</v>
      </c>
      <c r="C63" s="43" t="s">
        <v>115</v>
      </c>
      <c r="D63" s="43" t="s">
        <v>465</v>
      </c>
      <c r="E63" s="43">
        <v>611021</v>
      </c>
      <c r="F63" s="40">
        <v>2210</v>
      </c>
      <c r="G63" s="40">
        <v>1113</v>
      </c>
      <c r="H63" s="43" t="s">
        <v>370</v>
      </c>
      <c r="I63" s="51" t="s">
        <v>12</v>
      </c>
      <c r="J63" s="41">
        <v>1</v>
      </c>
      <c r="K63" s="42">
        <v>348.35</v>
      </c>
      <c r="L63" s="42">
        <v>348.35</v>
      </c>
      <c r="M63" s="42" t="s">
        <v>458</v>
      </c>
    </row>
    <row r="64" spans="1:13">
      <c r="A64" s="40">
        <v>7</v>
      </c>
      <c r="B64" s="39" t="s">
        <v>31</v>
      </c>
      <c r="C64" s="43" t="s">
        <v>115</v>
      </c>
      <c r="D64" s="43" t="s">
        <v>465</v>
      </c>
      <c r="E64" s="43">
        <v>611021</v>
      </c>
      <c r="F64" s="40">
        <v>2210</v>
      </c>
      <c r="G64" s="40">
        <v>1113</v>
      </c>
      <c r="H64" s="43" t="s">
        <v>405</v>
      </c>
      <c r="I64" s="51" t="s">
        <v>12</v>
      </c>
      <c r="J64" s="41">
        <v>1</v>
      </c>
      <c r="K64" s="42">
        <v>5416.65</v>
      </c>
      <c r="L64" s="42">
        <v>5416.65</v>
      </c>
      <c r="M64" s="42" t="s">
        <v>458</v>
      </c>
    </row>
    <row r="65" spans="1:13">
      <c r="A65" s="40">
        <v>8</v>
      </c>
      <c r="B65" s="39" t="s">
        <v>31</v>
      </c>
      <c r="C65" s="43" t="s">
        <v>115</v>
      </c>
      <c r="D65" s="43" t="s">
        <v>465</v>
      </c>
      <c r="E65" s="43">
        <v>611021</v>
      </c>
      <c r="F65" s="40">
        <v>2210</v>
      </c>
      <c r="G65" s="40">
        <v>1113</v>
      </c>
      <c r="H65" s="43" t="s">
        <v>91</v>
      </c>
      <c r="I65" s="51" t="s">
        <v>12</v>
      </c>
      <c r="J65" s="41">
        <v>1</v>
      </c>
      <c r="K65" s="42">
        <v>1083.3499999999999</v>
      </c>
      <c r="L65" s="42">
        <v>1083.3499999999999</v>
      </c>
      <c r="M65" s="42" t="s">
        <v>458</v>
      </c>
    </row>
    <row r="66" spans="1:13">
      <c r="A66" s="40">
        <v>9</v>
      </c>
      <c r="B66" s="39" t="s">
        <v>31</v>
      </c>
      <c r="C66" s="43" t="s">
        <v>115</v>
      </c>
      <c r="D66" s="43" t="s">
        <v>465</v>
      </c>
      <c r="E66" s="43">
        <v>611021</v>
      </c>
      <c r="F66" s="40">
        <v>2210</v>
      </c>
      <c r="G66" s="40">
        <v>1113</v>
      </c>
      <c r="H66" s="43" t="s">
        <v>133</v>
      </c>
      <c r="I66" s="51" t="s">
        <v>12</v>
      </c>
      <c r="J66" s="41">
        <v>1</v>
      </c>
      <c r="K66" s="42">
        <v>333.35</v>
      </c>
      <c r="L66" s="42">
        <v>333.35</v>
      </c>
      <c r="M66" s="42" t="s">
        <v>458</v>
      </c>
    </row>
    <row r="67" spans="1:13">
      <c r="A67" s="40">
        <v>10</v>
      </c>
      <c r="B67" s="39" t="s">
        <v>31</v>
      </c>
      <c r="C67" s="43" t="s">
        <v>115</v>
      </c>
      <c r="D67" s="43" t="s">
        <v>465</v>
      </c>
      <c r="E67" s="43">
        <v>611021</v>
      </c>
      <c r="F67" s="40">
        <v>2210</v>
      </c>
      <c r="G67" s="40">
        <v>1113</v>
      </c>
      <c r="H67" s="43" t="s">
        <v>59</v>
      </c>
      <c r="I67" s="51" t="s">
        <v>12</v>
      </c>
      <c r="J67" s="41">
        <v>1</v>
      </c>
      <c r="K67" s="42">
        <v>1221.6500000000001</v>
      </c>
      <c r="L67" s="42">
        <v>1221.6500000000001</v>
      </c>
      <c r="M67" s="42" t="s">
        <v>458</v>
      </c>
    </row>
    <row r="68" spans="1:13">
      <c r="A68" s="40">
        <v>11</v>
      </c>
      <c r="B68" s="39" t="s">
        <v>31</v>
      </c>
      <c r="C68" s="43" t="s">
        <v>115</v>
      </c>
      <c r="D68" s="43" t="s">
        <v>465</v>
      </c>
      <c r="E68" s="43">
        <v>611021</v>
      </c>
      <c r="F68" s="40">
        <v>2210</v>
      </c>
      <c r="G68" s="40">
        <v>1114</v>
      </c>
      <c r="H68" s="43" t="s">
        <v>179</v>
      </c>
      <c r="I68" s="51" t="s">
        <v>12</v>
      </c>
      <c r="J68" s="41">
        <v>5</v>
      </c>
      <c r="K68" s="42">
        <v>123</v>
      </c>
      <c r="L68" s="42">
        <v>615</v>
      </c>
      <c r="M68" s="42" t="s">
        <v>458</v>
      </c>
    </row>
    <row r="69" spans="1:13">
      <c r="A69" s="40">
        <v>12</v>
      </c>
      <c r="B69" s="39" t="s">
        <v>31</v>
      </c>
      <c r="C69" s="43" t="s">
        <v>115</v>
      </c>
      <c r="D69" s="43" t="s">
        <v>465</v>
      </c>
      <c r="E69" s="43">
        <v>611021</v>
      </c>
      <c r="F69" s="40">
        <v>2210</v>
      </c>
      <c r="G69" s="40">
        <v>1114</v>
      </c>
      <c r="H69" s="43" t="s">
        <v>200</v>
      </c>
      <c r="I69" s="51" t="s">
        <v>12</v>
      </c>
      <c r="J69" s="41">
        <v>5</v>
      </c>
      <c r="K69" s="42">
        <v>420</v>
      </c>
      <c r="L69" s="42">
        <v>2100</v>
      </c>
      <c r="M69" s="42" t="s">
        <v>458</v>
      </c>
    </row>
    <row r="70" spans="1:13">
      <c r="A70" s="40">
        <v>13</v>
      </c>
      <c r="B70" s="39" t="s">
        <v>31</v>
      </c>
      <c r="C70" s="43" t="s">
        <v>115</v>
      </c>
      <c r="D70" s="43" t="s">
        <v>465</v>
      </c>
      <c r="E70" s="43">
        <v>611021</v>
      </c>
      <c r="F70" s="40">
        <v>2210</v>
      </c>
      <c r="G70" s="40">
        <v>1114</v>
      </c>
      <c r="H70" s="43" t="s">
        <v>25</v>
      </c>
      <c r="I70" s="51" t="s">
        <v>12</v>
      </c>
      <c r="J70" s="41">
        <v>5</v>
      </c>
      <c r="K70" s="42">
        <v>195</v>
      </c>
      <c r="L70" s="42">
        <v>975</v>
      </c>
      <c r="M70" s="42" t="s">
        <v>458</v>
      </c>
    </row>
    <row r="71" spans="1:13">
      <c r="A71" s="40">
        <v>14</v>
      </c>
      <c r="B71" s="39" t="s">
        <v>31</v>
      </c>
      <c r="C71" s="43" t="s">
        <v>115</v>
      </c>
      <c r="D71" s="43" t="s">
        <v>465</v>
      </c>
      <c r="E71" s="43">
        <v>613242</v>
      </c>
      <c r="F71" s="40">
        <v>2210</v>
      </c>
      <c r="G71" s="40" t="s">
        <v>134</v>
      </c>
      <c r="H71" s="43" t="s">
        <v>371</v>
      </c>
      <c r="I71" s="51" t="s">
        <v>21</v>
      </c>
      <c r="J71" s="41">
        <v>28</v>
      </c>
      <c r="K71" s="42">
        <v>37.5</v>
      </c>
      <c r="L71" s="42">
        <v>1050</v>
      </c>
      <c r="M71" s="42" t="s">
        <v>458</v>
      </c>
    </row>
    <row r="72" spans="1:13">
      <c r="A72" s="40">
        <v>15</v>
      </c>
      <c r="B72" s="39" t="s">
        <v>31</v>
      </c>
      <c r="C72" s="43" t="s">
        <v>115</v>
      </c>
      <c r="D72" s="43" t="s">
        <v>465</v>
      </c>
      <c r="E72" s="43">
        <v>613242</v>
      </c>
      <c r="F72" s="40">
        <v>2210</v>
      </c>
      <c r="G72" s="40" t="s">
        <v>134</v>
      </c>
      <c r="H72" s="43" t="s">
        <v>372</v>
      </c>
      <c r="I72" s="51" t="s">
        <v>12</v>
      </c>
      <c r="J72" s="41">
        <v>7</v>
      </c>
      <c r="K72" s="42">
        <v>75</v>
      </c>
      <c r="L72" s="42">
        <v>525</v>
      </c>
      <c r="M72" s="42" t="s">
        <v>458</v>
      </c>
    </row>
    <row r="73" spans="1:13">
      <c r="A73" s="40">
        <v>16</v>
      </c>
      <c r="B73" s="39" t="s">
        <v>31</v>
      </c>
      <c r="C73" s="43" t="s">
        <v>466</v>
      </c>
      <c r="D73" s="92" t="s">
        <v>43</v>
      </c>
      <c r="E73" s="43">
        <v>613242</v>
      </c>
      <c r="F73" s="40">
        <v>2210</v>
      </c>
      <c r="G73" s="40" t="s">
        <v>134</v>
      </c>
      <c r="H73" s="39" t="s">
        <v>388</v>
      </c>
      <c r="I73" s="39" t="s">
        <v>12</v>
      </c>
      <c r="J73" s="41">
        <v>5</v>
      </c>
      <c r="K73" s="42">
        <v>11.4</v>
      </c>
      <c r="L73" s="42">
        <v>57</v>
      </c>
      <c r="M73" s="42" t="s">
        <v>458</v>
      </c>
    </row>
    <row r="74" spans="1:13">
      <c r="A74" s="40">
        <v>17</v>
      </c>
      <c r="B74" s="39" t="s">
        <v>31</v>
      </c>
      <c r="C74" s="43" t="s">
        <v>466</v>
      </c>
      <c r="D74" s="92" t="s">
        <v>43</v>
      </c>
      <c r="E74" s="43">
        <v>613242</v>
      </c>
      <c r="F74" s="40">
        <v>2230</v>
      </c>
      <c r="G74" s="40" t="s">
        <v>125</v>
      </c>
      <c r="H74" s="39" t="s">
        <v>322</v>
      </c>
      <c r="I74" s="39" t="s">
        <v>12</v>
      </c>
      <c r="J74" s="41">
        <v>6</v>
      </c>
      <c r="K74" s="42">
        <v>90</v>
      </c>
      <c r="L74" s="42">
        <v>540</v>
      </c>
      <c r="M74" s="42" t="s">
        <v>458</v>
      </c>
    </row>
    <row r="75" spans="1:13" hidden="1">
      <c r="A75" s="40">
        <v>8</v>
      </c>
      <c r="B75" s="39" t="s">
        <v>31</v>
      </c>
      <c r="C75" s="43"/>
      <c r="D75" s="43"/>
      <c r="E75" s="43"/>
      <c r="F75" s="40"/>
      <c r="G75" s="40"/>
      <c r="H75" s="39"/>
      <c r="I75" s="39"/>
      <c r="J75" s="41"/>
      <c r="K75" s="42"/>
      <c r="L75" s="42"/>
      <c r="M75" s="42"/>
    </row>
    <row r="76" spans="1:13" hidden="1">
      <c r="A76" s="40">
        <v>9</v>
      </c>
      <c r="B76" s="39" t="s">
        <v>31</v>
      </c>
      <c r="C76" s="43"/>
      <c r="D76" s="43"/>
      <c r="E76" s="43"/>
      <c r="F76" s="40"/>
      <c r="G76" s="40"/>
      <c r="H76" s="39"/>
      <c r="I76" s="39"/>
      <c r="J76" s="41"/>
      <c r="K76" s="42"/>
      <c r="L76" s="42"/>
      <c r="M76" s="42"/>
    </row>
    <row r="77" spans="1:13" hidden="1">
      <c r="A77" s="40">
        <v>10</v>
      </c>
      <c r="B77" s="39" t="s">
        <v>31</v>
      </c>
      <c r="C77" s="43"/>
      <c r="D77" s="43"/>
      <c r="E77" s="43"/>
      <c r="F77" s="40"/>
      <c r="G77" s="40"/>
      <c r="H77" s="39"/>
      <c r="I77" s="39"/>
      <c r="J77" s="41"/>
      <c r="K77" s="42"/>
      <c r="L77" s="42"/>
      <c r="M77" s="42"/>
    </row>
    <row r="78" spans="1:13">
      <c r="A78" s="45"/>
      <c r="B78" s="46"/>
      <c r="C78" s="47"/>
      <c r="D78" s="47"/>
      <c r="E78" s="47"/>
      <c r="F78" s="45"/>
      <c r="G78" s="45"/>
      <c r="H78" s="46" t="s">
        <v>14</v>
      </c>
      <c r="I78" s="46"/>
      <c r="J78" s="48"/>
      <c r="K78" s="49"/>
      <c r="L78" s="49">
        <f>SUM(L58:L77)</f>
        <v>45459.609999999993</v>
      </c>
      <c r="M78" s="49">
        <f>SUM(M58:M77)</f>
        <v>0</v>
      </c>
    </row>
    <row r="79" spans="1:13">
      <c r="A79" s="40">
        <v>3</v>
      </c>
      <c r="B79" s="39" t="s">
        <v>104</v>
      </c>
      <c r="C79" s="43" t="s">
        <v>115</v>
      </c>
      <c r="D79" s="43" t="s">
        <v>461</v>
      </c>
      <c r="E79" s="43">
        <v>617520</v>
      </c>
      <c r="F79" s="40">
        <v>2210</v>
      </c>
      <c r="G79" s="40">
        <v>1113</v>
      </c>
      <c r="H79" s="39" t="s">
        <v>463</v>
      </c>
      <c r="I79" s="39" t="s">
        <v>12</v>
      </c>
      <c r="J79" s="41">
        <v>2</v>
      </c>
      <c r="K79" s="42">
        <v>6808</v>
      </c>
      <c r="L79" s="42">
        <v>13616</v>
      </c>
      <c r="M79" s="42" t="s">
        <v>458</v>
      </c>
    </row>
    <row r="80" spans="1:13">
      <c r="A80" s="40"/>
      <c r="B80" s="39" t="s">
        <v>104</v>
      </c>
      <c r="C80" s="43" t="s">
        <v>115</v>
      </c>
      <c r="D80" s="43" t="s">
        <v>462</v>
      </c>
      <c r="E80" s="43">
        <v>611021</v>
      </c>
      <c r="F80" s="40">
        <v>3110</v>
      </c>
      <c r="G80" s="40">
        <v>1014</v>
      </c>
      <c r="H80" s="39" t="s">
        <v>460</v>
      </c>
      <c r="I80" s="39" t="s">
        <v>12</v>
      </c>
      <c r="J80" s="41">
        <v>1</v>
      </c>
      <c r="K80" s="42">
        <v>50998.33</v>
      </c>
      <c r="L80" s="42">
        <f>J80*K80</f>
        <v>50998.33</v>
      </c>
      <c r="M80" s="42" t="s">
        <v>458</v>
      </c>
    </row>
    <row r="81" spans="1:13">
      <c r="A81" s="45"/>
      <c r="B81" s="46"/>
      <c r="C81" s="47"/>
      <c r="D81" s="47"/>
      <c r="E81" s="47"/>
      <c r="F81" s="45"/>
      <c r="G81" s="45"/>
      <c r="H81" s="46" t="s">
        <v>14</v>
      </c>
      <c r="I81" s="46"/>
      <c r="J81" s="48"/>
      <c r="K81" s="49"/>
      <c r="L81" s="49">
        <f>SUM(L79:L80)</f>
        <v>64614.33</v>
      </c>
      <c r="M81" s="46"/>
    </row>
    <row r="82" spans="1:13">
      <c r="A82" s="50">
        <v>1</v>
      </c>
      <c r="B82" s="51" t="s">
        <v>35</v>
      </c>
      <c r="C82" s="43" t="s">
        <v>115</v>
      </c>
      <c r="D82" s="43" t="s">
        <v>462</v>
      </c>
      <c r="E82" s="43">
        <v>611021</v>
      </c>
      <c r="F82" s="40">
        <v>3110</v>
      </c>
      <c r="G82" s="40">
        <v>1014</v>
      </c>
      <c r="H82" s="39" t="s">
        <v>460</v>
      </c>
      <c r="I82" s="39" t="s">
        <v>12</v>
      </c>
      <c r="J82" s="41">
        <v>1</v>
      </c>
      <c r="K82" s="42">
        <v>50998.33</v>
      </c>
      <c r="L82" s="42">
        <f>J82*K82</f>
        <v>50998.33</v>
      </c>
      <c r="M82" s="42" t="s">
        <v>458</v>
      </c>
    </row>
    <row r="83" spans="1:13">
      <c r="A83" s="45"/>
      <c r="B83" s="46"/>
      <c r="C83" s="47"/>
      <c r="D83" s="47"/>
      <c r="E83" s="47"/>
      <c r="F83" s="45"/>
      <c r="G83" s="45"/>
      <c r="H83" s="46" t="s">
        <v>14</v>
      </c>
      <c r="I83" s="46"/>
      <c r="J83" s="48"/>
      <c r="K83" s="49"/>
      <c r="L83" s="49">
        <f>SUM(L82)</f>
        <v>50998.33</v>
      </c>
      <c r="M83" s="46"/>
    </row>
    <row r="84" spans="1:13">
      <c r="A84" s="50">
        <v>1</v>
      </c>
      <c r="B84" s="51" t="s">
        <v>36</v>
      </c>
      <c r="C84" s="43" t="s">
        <v>115</v>
      </c>
      <c r="D84" s="43" t="s">
        <v>461</v>
      </c>
      <c r="E84" s="43">
        <v>617520</v>
      </c>
      <c r="F84" s="40">
        <v>2210</v>
      </c>
      <c r="G84" s="40">
        <v>1113</v>
      </c>
      <c r="H84" s="39" t="s">
        <v>463</v>
      </c>
      <c r="I84" s="39" t="s">
        <v>12</v>
      </c>
      <c r="J84" s="41">
        <v>1</v>
      </c>
      <c r="K84" s="42">
        <v>6808</v>
      </c>
      <c r="L84" s="42">
        <v>6808</v>
      </c>
      <c r="M84" s="42" t="s">
        <v>458</v>
      </c>
    </row>
    <row r="85" spans="1:13">
      <c r="A85" s="50">
        <v>2</v>
      </c>
      <c r="B85" s="51" t="s">
        <v>36</v>
      </c>
      <c r="C85" s="43" t="s">
        <v>115</v>
      </c>
      <c r="D85" s="43" t="s">
        <v>461</v>
      </c>
      <c r="E85" s="43">
        <v>617520</v>
      </c>
      <c r="F85" s="40">
        <v>2210</v>
      </c>
      <c r="G85" s="40">
        <v>1113</v>
      </c>
      <c r="H85" s="39" t="s">
        <v>464</v>
      </c>
      <c r="I85" s="39" t="s">
        <v>12</v>
      </c>
      <c r="J85" s="41">
        <v>1</v>
      </c>
      <c r="K85" s="42">
        <v>9607.0499999999993</v>
      </c>
      <c r="L85" s="42">
        <v>9607.0499999999993</v>
      </c>
      <c r="M85" s="42" t="s">
        <v>458</v>
      </c>
    </row>
    <row r="86" spans="1:13">
      <c r="A86" s="50">
        <v>3</v>
      </c>
      <c r="B86" s="51" t="s">
        <v>36</v>
      </c>
      <c r="C86" s="43" t="s">
        <v>115</v>
      </c>
      <c r="D86" s="43" t="s">
        <v>462</v>
      </c>
      <c r="E86" s="43">
        <v>611021</v>
      </c>
      <c r="F86" s="40">
        <v>3110</v>
      </c>
      <c r="G86" s="40">
        <v>1014</v>
      </c>
      <c r="H86" s="39" t="s">
        <v>460</v>
      </c>
      <c r="I86" s="39" t="s">
        <v>12</v>
      </c>
      <c r="J86" s="41">
        <v>1</v>
      </c>
      <c r="K86" s="42">
        <v>50998.33</v>
      </c>
      <c r="L86" s="42">
        <f>J86*K86</f>
        <v>50998.33</v>
      </c>
      <c r="M86" s="42" t="s">
        <v>458</v>
      </c>
    </row>
    <row r="87" spans="1:13">
      <c r="A87" s="45"/>
      <c r="B87" s="46"/>
      <c r="C87" s="47"/>
      <c r="D87" s="47"/>
      <c r="E87" s="47"/>
      <c r="F87" s="45"/>
      <c r="G87" s="45"/>
      <c r="H87" s="46" t="s">
        <v>14</v>
      </c>
      <c r="I87" s="46"/>
      <c r="J87" s="48"/>
      <c r="K87" s="49"/>
      <c r="L87" s="49">
        <f>SUM(L84:L86)</f>
        <v>67413.38</v>
      </c>
      <c r="M87" s="46">
        <f>SUM(M84:M86)</f>
        <v>0</v>
      </c>
    </row>
    <row r="88" spans="1:13">
      <c r="A88" s="50">
        <v>1</v>
      </c>
      <c r="B88" s="51" t="s">
        <v>56</v>
      </c>
      <c r="C88" s="43" t="s">
        <v>115</v>
      </c>
      <c r="D88" s="43" t="s">
        <v>461</v>
      </c>
      <c r="E88" s="43">
        <v>617520</v>
      </c>
      <c r="F88" s="40">
        <v>2210</v>
      </c>
      <c r="G88" s="40">
        <v>1113</v>
      </c>
      <c r="H88" s="39" t="s">
        <v>463</v>
      </c>
      <c r="I88" s="39" t="s">
        <v>12</v>
      </c>
      <c r="J88" s="41">
        <v>1</v>
      </c>
      <c r="K88" s="42">
        <v>6808</v>
      </c>
      <c r="L88" s="42">
        <v>6808</v>
      </c>
      <c r="M88" s="42" t="s">
        <v>458</v>
      </c>
    </row>
    <row r="89" spans="1:13">
      <c r="A89" s="50">
        <v>2</v>
      </c>
      <c r="B89" s="51" t="s">
        <v>56</v>
      </c>
      <c r="C89" s="43" t="s">
        <v>115</v>
      </c>
      <c r="D89" s="43" t="s">
        <v>465</v>
      </c>
      <c r="E89" s="43">
        <v>611021</v>
      </c>
      <c r="F89" s="40">
        <v>2210</v>
      </c>
      <c r="G89" s="40">
        <v>1113</v>
      </c>
      <c r="H89" s="39" t="s">
        <v>368</v>
      </c>
      <c r="I89" s="39" t="s">
        <v>12</v>
      </c>
      <c r="J89" s="41">
        <v>1</v>
      </c>
      <c r="K89" s="42">
        <v>1850</v>
      </c>
      <c r="L89" s="42">
        <v>1850</v>
      </c>
      <c r="M89" s="42" t="s">
        <v>458</v>
      </c>
    </row>
    <row r="90" spans="1:13">
      <c r="A90" s="50">
        <v>3</v>
      </c>
      <c r="B90" s="51" t="s">
        <v>56</v>
      </c>
      <c r="C90" s="43" t="s">
        <v>115</v>
      </c>
      <c r="D90" s="43" t="s">
        <v>465</v>
      </c>
      <c r="E90" s="43">
        <v>611021</v>
      </c>
      <c r="F90" s="40">
        <v>2210</v>
      </c>
      <c r="G90" s="40">
        <v>1113</v>
      </c>
      <c r="H90" s="51" t="s">
        <v>58</v>
      </c>
      <c r="I90" s="51" t="s">
        <v>12</v>
      </c>
      <c r="J90" s="53">
        <v>1</v>
      </c>
      <c r="K90" s="52">
        <v>2499.21</v>
      </c>
      <c r="L90" s="52">
        <v>2499.21</v>
      </c>
      <c r="M90" s="42" t="s">
        <v>458</v>
      </c>
    </row>
    <row r="91" spans="1:13">
      <c r="A91" s="50">
        <v>4</v>
      </c>
      <c r="B91" s="51" t="s">
        <v>56</v>
      </c>
      <c r="C91" s="43" t="s">
        <v>115</v>
      </c>
      <c r="D91" s="43" t="s">
        <v>465</v>
      </c>
      <c r="E91" s="43">
        <v>611021</v>
      </c>
      <c r="F91" s="40">
        <v>2210</v>
      </c>
      <c r="G91" s="40">
        <v>1113</v>
      </c>
      <c r="H91" s="43" t="s">
        <v>369</v>
      </c>
      <c r="I91" s="51" t="s">
        <v>12</v>
      </c>
      <c r="J91" s="41">
        <v>3</v>
      </c>
      <c r="K91" s="42">
        <v>2860</v>
      </c>
      <c r="L91" s="42">
        <v>8580</v>
      </c>
      <c r="M91" s="42" t="s">
        <v>458</v>
      </c>
    </row>
    <row r="92" spans="1:13">
      <c r="A92" s="50">
        <v>5</v>
      </c>
      <c r="B92" s="51" t="s">
        <v>56</v>
      </c>
      <c r="C92" s="43" t="s">
        <v>115</v>
      </c>
      <c r="D92" s="43" t="s">
        <v>465</v>
      </c>
      <c r="E92" s="43">
        <v>611021</v>
      </c>
      <c r="F92" s="40">
        <v>2210</v>
      </c>
      <c r="G92" s="40">
        <v>1113</v>
      </c>
      <c r="H92" s="43" t="s">
        <v>370</v>
      </c>
      <c r="I92" s="51" t="s">
        <v>12</v>
      </c>
      <c r="J92" s="41">
        <v>2</v>
      </c>
      <c r="K92" s="42">
        <v>348.35</v>
      </c>
      <c r="L92" s="42">
        <v>696.7</v>
      </c>
      <c r="M92" s="42" t="s">
        <v>458</v>
      </c>
    </row>
    <row r="93" spans="1:13">
      <c r="A93" s="50">
        <v>7</v>
      </c>
      <c r="B93" s="51" t="s">
        <v>56</v>
      </c>
      <c r="C93" s="43" t="s">
        <v>115</v>
      </c>
      <c r="D93" s="43" t="s">
        <v>465</v>
      </c>
      <c r="E93" s="43">
        <v>611021</v>
      </c>
      <c r="F93" s="40">
        <v>2210</v>
      </c>
      <c r="G93" s="40">
        <v>1113</v>
      </c>
      <c r="H93" s="43" t="s">
        <v>91</v>
      </c>
      <c r="I93" s="51" t="s">
        <v>12</v>
      </c>
      <c r="J93" s="41">
        <v>2</v>
      </c>
      <c r="K93" s="42">
        <v>1083.3499999999999</v>
      </c>
      <c r="L93" s="42">
        <v>2166.6999999999998</v>
      </c>
      <c r="M93" s="42" t="s">
        <v>458</v>
      </c>
    </row>
    <row r="94" spans="1:13">
      <c r="A94" s="50">
        <v>8</v>
      </c>
      <c r="B94" s="51" t="s">
        <v>56</v>
      </c>
      <c r="C94" s="43" t="s">
        <v>115</v>
      </c>
      <c r="D94" s="43" t="s">
        <v>465</v>
      </c>
      <c r="E94" s="43">
        <v>611021</v>
      </c>
      <c r="F94" s="40">
        <v>2210</v>
      </c>
      <c r="G94" s="40">
        <v>1113</v>
      </c>
      <c r="H94" s="43" t="s">
        <v>133</v>
      </c>
      <c r="I94" s="51" t="s">
        <v>12</v>
      </c>
      <c r="J94" s="41">
        <v>2</v>
      </c>
      <c r="K94" s="42">
        <v>333.35</v>
      </c>
      <c r="L94" s="42">
        <v>666.7</v>
      </c>
      <c r="M94" s="42" t="s">
        <v>458</v>
      </c>
    </row>
    <row r="95" spans="1:13">
      <c r="A95" s="50">
        <v>9</v>
      </c>
      <c r="B95" s="51" t="s">
        <v>56</v>
      </c>
      <c r="C95" s="43" t="s">
        <v>115</v>
      </c>
      <c r="D95" s="43" t="s">
        <v>465</v>
      </c>
      <c r="E95" s="43">
        <v>611021</v>
      </c>
      <c r="F95" s="40">
        <v>2210</v>
      </c>
      <c r="G95" s="40">
        <v>1113</v>
      </c>
      <c r="H95" s="43" t="s">
        <v>59</v>
      </c>
      <c r="I95" s="51" t="s">
        <v>12</v>
      </c>
      <c r="J95" s="41">
        <v>2</v>
      </c>
      <c r="K95" s="42">
        <v>1221.6500000000001</v>
      </c>
      <c r="L95" s="42">
        <v>2443.3000000000002</v>
      </c>
      <c r="M95" s="42" t="s">
        <v>458</v>
      </c>
    </row>
    <row r="96" spans="1:13">
      <c r="A96" s="50">
        <v>10</v>
      </c>
      <c r="B96" s="51" t="s">
        <v>56</v>
      </c>
      <c r="C96" s="43" t="s">
        <v>115</v>
      </c>
      <c r="D96" s="43" t="s">
        <v>465</v>
      </c>
      <c r="E96" s="43">
        <v>611021</v>
      </c>
      <c r="F96" s="40">
        <v>2210</v>
      </c>
      <c r="G96" s="40">
        <v>1114</v>
      </c>
      <c r="H96" s="43" t="s">
        <v>179</v>
      </c>
      <c r="I96" s="51" t="s">
        <v>12</v>
      </c>
      <c r="J96" s="41">
        <v>5</v>
      </c>
      <c r="K96" s="42">
        <v>123</v>
      </c>
      <c r="L96" s="42">
        <v>615</v>
      </c>
      <c r="M96" s="42" t="s">
        <v>458</v>
      </c>
    </row>
    <row r="97" spans="1:14">
      <c r="A97" s="50">
        <v>11</v>
      </c>
      <c r="B97" s="51" t="s">
        <v>56</v>
      </c>
      <c r="C97" s="43" t="s">
        <v>115</v>
      </c>
      <c r="D97" s="43" t="s">
        <v>465</v>
      </c>
      <c r="E97" s="43">
        <v>611021</v>
      </c>
      <c r="F97" s="40">
        <v>2210</v>
      </c>
      <c r="G97" s="40">
        <v>1114</v>
      </c>
      <c r="H97" s="43" t="s">
        <v>200</v>
      </c>
      <c r="I97" s="51" t="s">
        <v>12</v>
      </c>
      <c r="J97" s="41">
        <v>5</v>
      </c>
      <c r="K97" s="42">
        <v>420</v>
      </c>
      <c r="L97" s="42">
        <v>2100</v>
      </c>
      <c r="M97" s="42" t="s">
        <v>458</v>
      </c>
    </row>
    <row r="98" spans="1:14">
      <c r="A98" s="50">
        <v>12</v>
      </c>
      <c r="B98" s="51" t="s">
        <v>56</v>
      </c>
      <c r="C98" s="43" t="s">
        <v>115</v>
      </c>
      <c r="D98" s="43" t="s">
        <v>465</v>
      </c>
      <c r="E98" s="43">
        <v>611021</v>
      </c>
      <c r="F98" s="40">
        <v>2210</v>
      </c>
      <c r="G98" s="40">
        <v>1114</v>
      </c>
      <c r="H98" s="43" t="s">
        <v>25</v>
      </c>
      <c r="I98" s="51" t="s">
        <v>12</v>
      </c>
      <c r="J98" s="41">
        <v>5</v>
      </c>
      <c r="K98" s="42">
        <v>195</v>
      </c>
      <c r="L98" s="42">
        <v>975</v>
      </c>
      <c r="M98" s="42" t="s">
        <v>458</v>
      </c>
    </row>
    <row r="99" spans="1:14">
      <c r="A99" s="50">
        <v>13</v>
      </c>
      <c r="B99" s="51" t="s">
        <v>56</v>
      </c>
      <c r="C99" s="43" t="s">
        <v>115</v>
      </c>
      <c r="D99" s="43" t="s">
        <v>465</v>
      </c>
      <c r="E99" s="43">
        <v>613242</v>
      </c>
      <c r="F99" s="40">
        <v>2210</v>
      </c>
      <c r="G99" s="40" t="s">
        <v>134</v>
      </c>
      <c r="H99" s="43" t="s">
        <v>371</v>
      </c>
      <c r="I99" s="51" t="s">
        <v>21</v>
      </c>
      <c r="J99" s="41">
        <v>28</v>
      </c>
      <c r="K99" s="42">
        <v>37.5</v>
      </c>
      <c r="L99" s="42">
        <v>1050</v>
      </c>
      <c r="M99" s="42" t="s">
        <v>458</v>
      </c>
    </row>
    <row r="100" spans="1:14">
      <c r="A100" s="50">
        <v>14</v>
      </c>
      <c r="B100" s="51" t="s">
        <v>56</v>
      </c>
      <c r="C100" s="43" t="s">
        <v>115</v>
      </c>
      <c r="D100" s="43" t="s">
        <v>465</v>
      </c>
      <c r="E100" s="43">
        <v>613242</v>
      </c>
      <c r="F100" s="40">
        <v>2210</v>
      </c>
      <c r="G100" s="40" t="s">
        <v>134</v>
      </c>
      <c r="H100" s="43" t="s">
        <v>372</v>
      </c>
      <c r="I100" s="51" t="s">
        <v>12</v>
      </c>
      <c r="J100" s="41">
        <v>8</v>
      </c>
      <c r="K100" s="42">
        <v>75</v>
      </c>
      <c r="L100" s="42">
        <v>600</v>
      </c>
      <c r="M100" s="42" t="s">
        <v>458</v>
      </c>
    </row>
    <row r="101" spans="1:14">
      <c r="A101" s="45"/>
      <c r="B101" s="46"/>
      <c r="C101" s="47"/>
      <c r="D101" s="47"/>
      <c r="E101" s="47"/>
      <c r="F101" s="45"/>
      <c r="G101" s="45"/>
      <c r="H101" s="46" t="s">
        <v>14</v>
      </c>
      <c r="I101" s="46"/>
      <c r="J101" s="48"/>
      <c r="K101" s="49"/>
      <c r="L101" s="49">
        <f>SUM(L88:L100)</f>
        <v>31050.61</v>
      </c>
      <c r="M101" s="46">
        <f>SUM(M88:M100)</f>
        <v>0</v>
      </c>
    </row>
    <row r="102" spans="1:14">
      <c r="A102" s="40">
        <v>1</v>
      </c>
      <c r="B102" s="39" t="s">
        <v>37</v>
      </c>
      <c r="C102" s="43" t="s">
        <v>115</v>
      </c>
      <c r="D102" s="43" t="s">
        <v>461</v>
      </c>
      <c r="E102" s="43">
        <v>617520</v>
      </c>
      <c r="F102" s="40">
        <v>2210</v>
      </c>
      <c r="G102" s="40">
        <v>1113</v>
      </c>
      <c r="H102" s="39" t="s">
        <v>463</v>
      </c>
      <c r="I102" s="39" t="s">
        <v>12</v>
      </c>
      <c r="J102" s="41">
        <v>1</v>
      </c>
      <c r="K102" s="42">
        <v>6808</v>
      </c>
      <c r="L102" s="42">
        <v>6808</v>
      </c>
      <c r="M102" s="42" t="s">
        <v>458</v>
      </c>
    </row>
    <row r="103" spans="1:14">
      <c r="A103" s="40">
        <v>2</v>
      </c>
      <c r="B103" s="39" t="s">
        <v>37</v>
      </c>
      <c r="C103" s="43" t="s">
        <v>115</v>
      </c>
      <c r="D103" s="43" t="s">
        <v>461</v>
      </c>
      <c r="E103" s="43">
        <v>617520</v>
      </c>
      <c r="F103" s="40">
        <v>2210</v>
      </c>
      <c r="G103" s="40">
        <v>1113</v>
      </c>
      <c r="H103" s="39" t="s">
        <v>464</v>
      </c>
      <c r="I103" s="39" t="s">
        <v>12</v>
      </c>
      <c r="J103" s="41">
        <v>1</v>
      </c>
      <c r="K103" s="42">
        <v>9607.0499999999993</v>
      </c>
      <c r="L103" s="42">
        <v>9607.0499999999993</v>
      </c>
      <c r="M103" s="42" t="s">
        <v>458</v>
      </c>
    </row>
    <row r="104" spans="1:14">
      <c r="A104" s="45"/>
      <c r="B104" s="46"/>
      <c r="C104" s="47"/>
      <c r="D104" s="47"/>
      <c r="E104" s="47"/>
      <c r="F104" s="45"/>
      <c r="G104" s="45"/>
      <c r="H104" s="46" t="s">
        <v>14</v>
      </c>
      <c r="I104" s="46"/>
      <c r="J104" s="48"/>
      <c r="K104" s="49"/>
      <c r="L104" s="49">
        <f>SUM(L102:L103)</f>
        <v>16415.05</v>
      </c>
      <c r="M104" s="46">
        <f>SUM(M102:M103)</f>
        <v>0</v>
      </c>
    </row>
    <row r="105" spans="1:14">
      <c r="A105" s="45"/>
      <c r="B105" s="46"/>
      <c r="C105" s="43" t="s">
        <v>115</v>
      </c>
      <c r="D105" s="43" t="s">
        <v>462</v>
      </c>
      <c r="E105" s="43">
        <v>611021</v>
      </c>
      <c r="F105" s="40">
        <v>3110</v>
      </c>
      <c r="G105" s="40">
        <v>1014</v>
      </c>
      <c r="H105" s="39" t="s">
        <v>460</v>
      </c>
      <c r="I105" s="39" t="s">
        <v>12</v>
      </c>
      <c r="J105" s="41">
        <v>1</v>
      </c>
      <c r="K105" s="42">
        <v>50998.33</v>
      </c>
      <c r="L105" s="42">
        <v>50998.33</v>
      </c>
      <c r="M105" s="42" t="s">
        <v>458</v>
      </c>
      <c r="N105" s="42"/>
    </row>
    <row r="106" spans="1:14">
      <c r="A106" s="50">
        <v>1</v>
      </c>
      <c r="B106" s="51" t="s">
        <v>39</v>
      </c>
      <c r="C106" s="43" t="s">
        <v>115</v>
      </c>
      <c r="D106" s="43" t="s">
        <v>461</v>
      </c>
      <c r="E106" s="43">
        <v>617520</v>
      </c>
      <c r="F106" s="40">
        <v>2210</v>
      </c>
      <c r="G106" s="40">
        <v>1113</v>
      </c>
      <c r="H106" s="39" t="s">
        <v>463</v>
      </c>
      <c r="I106" s="39" t="s">
        <v>12</v>
      </c>
      <c r="J106" s="41">
        <v>1</v>
      </c>
      <c r="K106" s="42">
        <v>6808</v>
      </c>
      <c r="L106" s="42">
        <v>6808</v>
      </c>
      <c r="M106" s="42" t="s">
        <v>458</v>
      </c>
    </row>
    <row r="107" spans="1:14">
      <c r="A107" s="50"/>
      <c r="B107" s="51"/>
      <c r="C107" s="43" t="s">
        <v>115</v>
      </c>
      <c r="D107" s="43" t="s">
        <v>461</v>
      </c>
      <c r="E107" s="43">
        <v>617520</v>
      </c>
      <c r="F107" s="40">
        <v>2210</v>
      </c>
      <c r="G107" s="40">
        <v>1113</v>
      </c>
      <c r="H107" s="39" t="s">
        <v>464</v>
      </c>
      <c r="I107" s="39" t="s">
        <v>12</v>
      </c>
      <c r="J107" s="41">
        <v>1</v>
      </c>
      <c r="K107" s="42">
        <v>9607.0499999999993</v>
      </c>
      <c r="L107" s="42">
        <v>9607.0499999999993</v>
      </c>
      <c r="M107" s="42" t="s">
        <v>458</v>
      </c>
    </row>
    <row r="108" spans="1:14">
      <c r="A108" s="45"/>
      <c r="B108" s="46"/>
      <c r="C108" s="47"/>
      <c r="D108" s="47"/>
      <c r="E108" s="47"/>
      <c r="F108" s="45"/>
      <c r="G108" s="45"/>
      <c r="H108" s="46" t="s">
        <v>14</v>
      </c>
      <c r="I108" s="46"/>
      <c r="J108" s="48"/>
      <c r="K108" s="49"/>
      <c r="L108" s="49">
        <f>SUM(L105:L107)</f>
        <v>67413.38</v>
      </c>
      <c r="M108" s="46"/>
    </row>
    <row r="109" spans="1:14">
      <c r="A109" s="50">
        <v>1</v>
      </c>
      <c r="B109" s="51" t="s">
        <v>42</v>
      </c>
      <c r="C109" s="43" t="s">
        <v>115</v>
      </c>
      <c r="D109" s="43" t="s">
        <v>462</v>
      </c>
      <c r="E109" s="43">
        <v>611021</v>
      </c>
      <c r="F109" s="40">
        <v>3110</v>
      </c>
      <c r="G109" s="40">
        <v>1014</v>
      </c>
      <c r="H109" s="39" t="s">
        <v>460</v>
      </c>
      <c r="I109" s="39" t="s">
        <v>12</v>
      </c>
      <c r="J109" s="41">
        <v>1</v>
      </c>
      <c r="K109" s="42">
        <v>50998.33</v>
      </c>
      <c r="L109" s="42">
        <f>J109*K109</f>
        <v>50998.33</v>
      </c>
      <c r="M109" s="42" t="s">
        <v>458</v>
      </c>
    </row>
    <row r="110" spans="1:14">
      <c r="A110" s="50"/>
      <c r="B110" s="51"/>
      <c r="C110" s="43" t="s">
        <v>115</v>
      </c>
      <c r="D110" s="43" t="s">
        <v>461</v>
      </c>
      <c r="E110" s="43">
        <v>617520</v>
      </c>
      <c r="F110" s="40">
        <v>2210</v>
      </c>
      <c r="G110" s="40">
        <v>1113</v>
      </c>
      <c r="H110" s="39" t="s">
        <v>463</v>
      </c>
      <c r="I110" s="39" t="s">
        <v>12</v>
      </c>
      <c r="J110" s="41">
        <v>1</v>
      </c>
      <c r="K110" s="42">
        <v>6808</v>
      </c>
      <c r="L110" s="42">
        <v>6808</v>
      </c>
      <c r="M110" s="42" t="s">
        <v>458</v>
      </c>
    </row>
    <row r="111" spans="1:14">
      <c r="A111" s="50"/>
      <c r="B111" s="51"/>
      <c r="C111" s="43" t="s">
        <v>115</v>
      </c>
      <c r="D111" s="43" t="s">
        <v>461</v>
      </c>
      <c r="E111" s="43">
        <v>617520</v>
      </c>
      <c r="F111" s="40">
        <v>2210</v>
      </c>
      <c r="G111" s="40">
        <v>1113</v>
      </c>
      <c r="H111" s="39" t="s">
        <v>464</v>
      </c>
      <c r="I111" s="39" t="s">
        <v>12</v>
      </c>
      <c r="J111" s="41">
        <v>1</v>
      </c>
      <c r="K111" s="42">
        <v>9607.0499999999993</v>
      </c>
      <c r="L111" s="42">
        <v>9607.0499999999993</v>
      </c>
      <c r="M111" s="42" t="s">
        <v>458</v>
      </c>
    </row>
    <row r="112" spans="1:14">
      <c r="A112" s="45"/>
      <c r="B112" s="46"/>
      <c r="C112" s="47"/>
      <c r="D112" s="47"/>
      <c r="E112" s="47"/>
      <c r="F112" s="45"/>
      <c r="G112" s="45"/>
      <c r="H112" s="46" t="s">
        <v>14</v>
      </c>
      <c r="I112" s="46"/>
      <c r="J112" s="48"/>
      <c r="K112" s="49"/>
      <c r="L112" s="49">
        <f>SUM(L109:L111)</f>
        <v>67413.38</v>
      </c>
      <c r="M112" s="46"/>
    </row>
    <row r="113" spans="1:13">
      <c r="A113" s="50">
        <v>1</v>
      </c>
      <c r="B113" s="51" t="s">
        <v>83</v>
      </c>
      <c r="C113" s="43" t="s">
        <v>115</v>
      </c>
      <c r="D113" s="43" t="s">
        <v>462</v>
      </c>
      <c r="E113" s="43">
        <v>611021</v>
      </c>
      <c r="F113" s="40">
        <v>3110</v>
      </c>
      <c r="G113" s="40">
        <v>1014</v>
      </c>
      <c r="H113" s="39" t="s">
        <v>460</v>
      </c>
      <c r="I113" s="39" t="s">
        <v>12</v>
      </c>
      <c r="J113" s="41">
        <v>1</v>
      </c>
      <c r="K113" s="42">
        <v>50998.33</v>
      </c>
      <c r="L113" s="42">
        <v>50998.33</v>
      </c>
      <c r="M113" s="42" t="s">
        <v>458</v>
      </c>
    </row>
    <row r="114" spans="1:13">
      <c r="A114" s="50"/>
      <c r="B114" s="51"/>
      <c r="C114" s="43" t="s">
        <v>115</v>
      </c>
      <c r="D114" s="43" t="s">
        <v>461</v>
      </c>
      <c r="E114" s="43">
        <v>617520</v>
      </c>
      <c r="F114" s="40">
        <v>2210</v>
      </c>
      <c r="G114" s="40">
        <v>1113</v>
      </c>
      <c r="H114" s="39" t="s">
        <v>463</v>
      </c>
      <c r="I114" s="39" t="s">
        <v>12</v>
      </c>
      <c r="J114" s="41">
        <v>1</v>
      </c>
      <c r="K114" s="42">
        <v>6808</v>
      </c>
      <c r="L114" s="42">
        <v>6808</v>
      </c>
      <c r="M114" s="42" t="s">
        <v>458</v>
      </c>
    </row>
    <row r="115" spans="1:13">
      <c r="A115" s="50"/>
      <c r="B115" s="51"/>
      <c r="C115" s="43" t="s">
        <v>115</v>
      </c>
      <c r="D115" s="43" t="s">
        <v>461</v>
      </c>
      <c r="E115" s="43">
        <v>617520</v>
      </c>
      <c r="F115" s="40">
        <v>2210</v>
      </c>
      <c r="G115" s="40">
        <v>1113</v>
      </c>
      <c r="H115" s="39" t="s">
        <v>464</v>
      </c>
      <c r="I115" s="39" t="s">
        <v>12</v>
      </c>
      <c r="J115" s="41">
        <v>2</v>
      </c>
      <c r="K115" s="42">
        <v>9607.0499999999993</v>
      </c>
      <c r="L115" s="42">
        <v>19214.099999999999</v>
      </c>
      <c r="M115" s="42" t="s">
        <v>458</v>
      </c>
    </row>
    <row r="116" spans="1:13">
      <c r="A116" s="45"/>
      <c r="B116" s="46"/>
      <c r="C116" s="47"/>
      <c r="D116" s="47"/>
      <c r="E116" s="47"/>
      <c r="F116" s="45"/>
      <c r="G116" s="45"/>
      <c r="H116" s="46" t="s">
        <v>14</v>
      </c>
      <c r="I116" s="46"/>
      <c r="J116" s="48"/>
      <c r="K116" s="49"/>
      <c r="L116" s="49">
        <f>SUM(L113:L115)</f>
        <v>77020.429999999993</v>
      </c>
      <c r="M116" s="46"/>
    </row>
    <row r="117" spans="1:13">
      <c r="A117" s="40">
        <v>1</v>
      </c>
      <c r="B117" s="39" t="s">
        <v>107</v>
      </c>
      <c r="C117" s="43" t="s">
        <v>410</v>
      </c>
      <c r="D117" s="43" t="s">
        <v>457</v>
      </c>
      <c r="E117" s="43">
        <v>613230</v>
      </c>
      <c r="F117" s="40">
        <v>2230</v>
      </c>
      <c r="G117" s="40" t="s">
        <v>411</v>
      </c>
      <c r="H117" s="39" t="s">
        <v>413</v>
      </c>
      <c r="I117" s="39" t="s">
        <v>92</v>
      </c>
      <c r="J117" s="41">
        <v>56.7</v>
      </c>
      <c r="K117" s="42">
        <v>1.5</v>
      </c>
      <c r="L117" s="42">
        <v>85.05</v>
      </c>
      <c r="M117" s="39" t="s">
        <v>459</v>
      </c>
    </row>
    <row r="118" spans="1:13">
      <c r="A118" s="45"/>
      <c r="B118" s="46"/>
      <c r="C118" s="47"/>
      <c r="D118" s="47"/>
      <c r="E118" s="47"/>
      <c r="F118" s="45"/>
      <c r="G118" s="45"/>
      <c r="H118" s="46" t="s">
        <v>14</v>
      </c>
      <c r="I118" s="46"/>
      <c r="J118" s="48"/>
      <c r="K118" s="49"/>
      <c r="L118" s="49">
        <f>SUM(L117:L117)</f>
        <v>85.05</v>
      </c>
      <c r="M118" s="46">
        <f>SUM(M117:M117)</f>
        <v>0</v>
      </c>
    </row>
    <row r="119" spans="1:13">
      <c r="A119" s="50">
        <v>1</v>
      </c>
      <c r="B119" s="51" t="s">
        <v>46</v>
      </c>
      <c r="C119" s="43" t="s">
        <v>115</v>
      </c>
      <c r="D119" s="43" t="s">
        <v>462</v>
      </c>
      <c r="E119" s="43">
        <v>611021</v>
      </c>
      <c r="F119" s="40">
        <v>3110</v>
      </c>
      <c r="G119" s="40">
        <v>1014</v>
      </c>
      <c r="H119" s="39" t="s">
        <v>460</v>
      </c>
      <c r="I119" s="39" t="s">
        <v>12</v>
      </c>
      <c r="J119" s="41">
        <v>1</v>
      </c>
      <c r="K119" s="42">
        <v>50998.33</v>
      </c>
      <c r="L119" s="42">
        <v>50998.33</v>
      </c>
      <c r="M119" s="42" t="s">
        <v>458</v>
      </c>
    </row>
    <row r="120" spans="1:13">
      <c r="A120" s="50"/>
      <c r="B120" s="51"/>
      <c r="C120" s="43" t="s">
        <v>115</v>
      </c>
      <c r="D120" s="43" t="s">
        <v>461</v>
      </c>
      <c r="E120" s="43">
        <v>617520</v>
      </c>
      <c r="F120" s="40">
        <v>2210</v>
      </c>
      <c r="G120" s="40">
        <v>1113</v>
      </c>
      <c r="H120" s="39" t="s">
        <v>463</v>
      </c>
      <c r="I120" s="39" t="s">
        <v>12</v>
      </c>
      <c r="J120" s="41">
        <v>2</v>
      </c>
      <c r="K120" s="42">
        <v>6808</v>
      </c>
      <c r="L120" s="42">
        <v>13616</v>
      </c>
      <c r="M120" s="42" t="s">
        <v>458</v>
      </c>
    </row>
    <row r="121" spans="1:13">
      <c r="A121" s="50"/>
      <c r="B121" s="51"/>
      <c r="C121" s="43" t="s">
        <v>115</v>
      </c>
      <c r="D121" s="43" t="s">
        <v>461</v>
      </c>
      <c r="E121" s="43">
        <v>617520</v>
      </c>
      <c r="F121" s="40">
        <v>2210</v>
      </c>
      <c r="G121" s="40">
        <v>1113</v>
      </c>
      <c r="H121" s="39" t="s">
        <v>464</v>
      </c>
      <c r="I121" s="39" t="s">
        <v>12</v>
      </c>
      <c r="J121" s="41">
        <v>2</v>
      </c>
      <c r="K121" s="42">
        <v>9607.0499999999993</v>
      </c>
      <c r="L121" s="42">
        <v>19214.099999999999</v>
      </c>
      <c r="M121" s="42" t="s">
        <v>458</v>
      </c>
    </row>
    <row r="122" spans="1:13">
      <c r="A122" s="45"/>
      <c r="B122" s="46"/>
      <c r="C122" s="47"/>
      <c r="D122" s="47"/>
      <c r="E122" s="47"/>
      <c r="F122" s="45"/>
      <c r="G122" s="45"/>
      <c r="H122" s="46" t="s">
        <v>14</v>
      </c>
      <c r="I122" s="46"/>
      <c r="J122" s="48"/>
      <c r="K122" s="49"/>
      <c r="L122" s="49">
        <f>SUM(L119:L121)</f>
        <v>83828.429999999993</v>
      </c>
      <c r="M122" s="46"/>
    </row>
    <row r="123" spans="1:13">
      <c r="A123" s="40">
        <v>1</v>
      </c>
      <c r="B123" s="39" t="s">
        <v>87</v>
      </c>
      <c r="C123" s="43" t="s">
        <v>115</v>
      </c>
      <c r="D123" s="43" t="s">
        <v>461</v>
      </c>
      <c r="E123" s="43">
        <v>617520</v>
      </c>
      <c r="F123" s="40">
        <v>2210</v>
      </c>
      <c r="G123" s="40">
        <v>1113</v>
      </c>
      <c r="H123" s="39" t="s">
        <v>463</v>
      </c>
      <c r="I123" s="39" t="s">
        <v>12</v>
      </c>
      <c r="J123" s="41">
        <v>2</v>
      </c>
      <c r="K123" s="42">
        <v>6808</v>
      </c>
      <c r="L123" s="42">
        <v>13616</v>
      </c>
      <c r="M123" s="42" t="s">
        <v>458</v>
      </c>
    </row>
    <row r="124" spans="1:13">
      <c r="A124" s="40">
        <v>2</v>
      </c>
      <c r="B124" s="39" t="s">
        <v>87</v>
      </c>
      <c r="C124" s="43" t="s">
        <v>115</v>
      </c>
      <c r="D124" s="43" t="s">
        <v>461</v>
      </c>
      <c r="E124" s="43">
        <v>617520</v>
      </c>
      <c r="F124" s="40">
        <v>2210</v>
      </c>
      <c r="G124" s="40">
        <v>1113</v>
      </c>
      <c r="H124" s="39" t="s">
        <v>464</v>
      </c>
      <c r="I124" s="39" t="s">
        <v>12</v>
      </c>
      <c r="J124" s="41">
        <v>1</v>
      </c>
      <c r="K124" s="42">
        <v>9607.0499999999993</v>
      </c>
      <c r="L124" s="42">
        <v>9607.0499999999993</v>
      </c>
      <c r="M124" s="42" t="s">
        <v>458</v>
      </c>
    </row>
    <row r="125" spans="1:13">
      <c r="A125" s="40">
        <v>3</v>
      </c>
      <c r="B125" s="39" t="s">
        <v>87</v>
      </c>
      <c r="C125" s="43" t="s">
        <v>466</v>
      </c>
      <c r="D125" s="92" t="s">
        <v>43</v>
      </c>
      <c r="E125" s="43">
        <v>613242</v>
      </c>
      <c r="F125" s="40">
        <v>2210</v>
      </c>
      <c r="G125" s="40" t="s">
        <v>134</v>
      </c>
      <c r="H125" s="39" t="s">
        <v>388</v>
      </c>
      <c r="I125" s="39" t="s">
        <v>12</v>
      </c>
      <c r="J125" s="41">
        <v>5</v>
      </c>
      <c r="K125" s="42">
        <v>20</v>
      </c>
      <c r="L125" s="42">
        <v>100</v>
      </c>
      <c r="M125" s="42" t="s">
        <v>458</v>
      </c>
    </row>
    <row r="126" spans="1:13">
      <c r="A126" s="40">
        <v>4</v>
      </c>
      <c r="B126" s="39" t="s">
        <v>87</v>
      </c>
      <c r="C126" s="43" t="s">
        <v>466</v>
      </c>
      <c r="D126" s="92" t="s">
        <v>43</v>
      </c>
      <c r="E126" s="43">
        <v>613242</v>
      </c>
      <c r="F126" s="40">
        <v>2230</v>
      </c>
      <c r="G126" s="40" t="s">
        <v>125</v>
      </c>
      <c r="H126" s="39" t="s">
        <v>322</v>
      </c>
      <c r="I126" s="39" t="s">
        <v>12</v>
      </c>
      <c r="J126" s="41">
        <v>6</v>
      </c>
      <c r="K126" s="42">
        <v>25</v>
      </c>
      <c r="L126" s="42">
        <v>150</v>
      </c>
      <c r="M126" s="42" t="s">
        <v>458</v>
      </c>
    </row>
    <row r="127" spans="1:13">
      <c r="A127" s="45"/>
      <c r="B127" s="46"/>
      <c r="C127" s="47"/>
      <c r="D127" s="47"/>
      <c r="E127" s="47"/>
      <c r="F127" s="45"/>
      <c r="G127" s="45"/>
      <c r="H127" s="46" t="s">
        <v>14</v>
      </c>
      <c r="I127" s="46"/>
      <c r="J127" s="48"/>
      <c r="K127" s="49"/>
      <c r="L127" s="49">
        <f>SUM(L123:L126)</f>
        <v>23473.05</v>
      </c>
      <c r="M127" s="46">
        <f>SUM(M123:M126)</f>
        <v>0</v>
      </c>
    </row>
    <row r="128" spans="1:13">
      <c r="A128" s="50">
        <v>1</v>
      </c>
      <c r="B128" s="51" t="s">
        <v>48</v>
      </c>
      <c r="C128" s="43" t="s">
        <v>115</v>
      </c>
      <c r="D128" s="43" t="s">
        <v>461</v>
      </c>
      <c r="E128" s="43">
        <v>617520</v>
      </c>
      <c r="F128" s="40">
        <v>2210</v>
      </c>
      <c r="G128" s="40">
        <v>1113</v>
      </c>
      <c r="H128" s="39" t="s">
        <v>464</v>
      </c>
      <c r="I128" s="39" t="s">
        <v>12</v>
      </c>
      <c r="J128" s="41">
        <v>1</v>
      </c>
      <c r="K128" s="42">
        <v>9607.0499999999993</v>
      </c>
      <c r="L128" s="42">
        <v>9607.0499999999993</v>
      </c>
      <c r="M128" s="42" t="s">
        <v>458</v>
      </c>
    </row>
    <row r="129" spans="1:13">
      <c r="A129" s="45"/>
      <c r="B129" s="46"/>
      <c r="C129" s="47"/>
      <c r="D129" s="47"/>
      <c r="E129" s="47"/>
      <c r="F129" s="45"/>
      <c r="G129" s="45"/>
      <c r="H129" s="46" t="s">
        <v>14</v>
      </c>
      <c r="I129" s="46"/>
      <c r="J129" s="48"/>
      <c r="K129" s="49"/>
      <c r="L129" s="49">
        <f>SUM(L128:L128)</f>
        <v>9607.0499999999993</v>
      </c>
      <c r="M129" s="46">
        <f>SUM(M128:M128)</f>
        <v>0</v>
      </c>
    </row>
    <row r="130" spans="1:13">
      <c r="A130" s="40">
        <v>1</v>
      </c>
      <c r="B130" s="39" t="s">
        <v>75</v>
      </c>
      <c r="C130" s="43" t="s">
        <v>115</v>
      </c>
      <c r="D130" s="43" t="s">
        <v>417</v>
      </c>
      <c r="E130" s="43">
        <v>611021</v>
      </c>
      <c r="F130" s="40">
        <v>3110</v>
      </c>
      <c r="G130" s="40">
        <v>1014</v>
      </c>
      <c r="H130" s="39" t="s">
        <v>409</v>
      </c>
      <c r="I130" s="39" t="s">
        <v>12</v>
      </c>
      <c r="J130" s="41">
        <v>1</v>
      </c>
      <c r="K130" s="42">
        <v>79120</v>
      </c>
      <c r="L130" s="42">
        <v>79120</v>
      </c>
      <c r="M130" s="42" t="s">
        <v>458</v>
      </c>
    </row>
    <row r="131" spans="1:13">
      <c r="A131" s="40">
        <v>2</v>
      </c>
      <c r="B131" s="39" t="s">
        <v>75</v>
      </c>
      <c r="C131" s="43" t="s">
        <v>417</v>
      </c>
      <c r="D131" s="43" t="s">
        <v>417</v>
      </c>
      <c r="E131" s="43">
        <v>611021</v>
      </c>
      <c r="F131" s="40">
        <v>2210</v>
      </c>
      <c r="G131" s="40">
        <v>1113</v>
      </c>
      <c r="H131" s="39" t="s">
        <v>160</v>
      </c>
      <c r="I131" s="39" t="s">
        <v>12</v>
      </c>
      <c r="J131" s="48">
        <v>3</v>
      </c>
      <c r="K131" s="42">
        <v>11160.69</v>
      </c>
      <c r="L131" s="49">
        <v>33482.07</v>
      </c>
      <c r="M131" s="42" t="s">
        <v>459</v>
      </c>
    </row>
    <row r="132" spans="1:13">
      <c r="A132" s="40">
        <v>3</v>
      </c>
      <c r="B132" s="39" t="s">
        <v>75</v>
      </c>
      <c r="C132" s="43" t="s">
        <v>417</v>
      </c>
      <c r="D132" s="43" t="s">
        <v>417</v>
      </c>
      <c r="E132" s="43">
        <v>611021</v>
      </c>
      <c r="F132" s="40">
        <v>2210</v>
      </c>
      <c r="G132" s="40">
        <v>1113</v>
      </c>
      <c r="H132" s="39" t="s">
        <v>419</v>
      </c>
      <c r="I132" s="39" t="s">
        <v>12</v>
      </c>
      <c r="J132" s="48">
        <v>2</v>
      </c>
      <c r="K132" s="42">
        <v>1000</v>
      </c>
      <c r="L132" s="49">
        <v>2000</v>
      </c>
      <c r="M132" s="42" t="s">
        <v>459</v>
      </c>
    </row>
    <row r="133" spans="1:13">
      <c r="A133" s="40">
        <v>4</v>
      </c>
      <c r="B133" s="39" t="s">
        <v>75</v>
      </c>
      <c r="C133" s="43" t="s">
        <v>417</v>
      </c>
      <c r="D133" s="43" t="s">
        <v>417</v>
      </c>
      <c r="E133" s="43">
        <v>611021</v>
      </c>
      <c r="F133" s="40">
        <v>2210</v>
      </c>
      <c r="G133" s="40">
        <v>1113</v>
      </c>
      <c r="H133" s="39" t="s">
        <v>80</v>
      </c>
      <c r="I133" s="39" t="s">
        <v>12</v>
      </c>
      <c r="J133" s="48">
        <v>1</v>
      </c>
      <c r="K133" s="42">
        <v>20300</v>
      </c>
      <c r="L133" s="49">
        <v>20300</v>
      </c>
      <c r="M133" s="42" t="s">
        <v>459</v>
      </c>
    </row>
    <row r="134" spans="1:13">
      <c r="A134" s="40">
        <v>5</v>
      </c>
      <c r="B134" s="39" t="s">
        <v>75</v>
      </c>
      <c r="C134" s="43" t="s">
        <v>417</v>
      </c>
      <c r="D134" s="43" t="s">
        <v>417</v>
      </c>
      <c r="E134" s="43">
        <v>611021</v>
      </c>
      <c r="F134" s="40">
        <v>2210</v>
      </c>
      <c r="G134" s="40">
        <v>1113</v>
      </c>
      <c r="H134" s="39" t="s">
        <v>60</v>
      </c>
      <c r="I134" s="39" t="s">
        <v>12</v>
      </c>
      <c r="J134" s="48">
        <v>1</v>
      </c>
      <c r="K134" s="42">
        <v>850</v>
      </c>
      <c r="L134" s="49">
        <v>850</v>
      </c>
      <c r="M134" s="42" t="s">
        <v>459</v>
      </c>
    </row>
    <row r="135" spans="1:13">
      <c r="A135" s="40">
        <v>6</v>
      </c>
      <c r="B135" s="39" t="s">
        <v>75</v>
      </c>
      <c r="C135" s="43" t="s">
        <v>417</v>
      </c>
      <c r="D135" s="43" t="s">
        <v>417</v>
      </c>
      <c r="E135" s="43">
        <v>611021</v>
      </c>
      <c r="F135" s="40">
        <v>2210</v>
      </c>
      <c r="G135" s="40">
        <v>1113</v>
      </c>
      <c r="H135" s="39" t="s">
        <v>421</v>
      </c>
      <c r="I135" s="39" t="s">
        <v>12</v>
      </c>
      <c r="J135" s="48">
        <v>1</v>
      </c>
      <c r="K135" s="42">
        <v>3586.56</v>
      </c>
      <c r="L135" s="49">
        <v>3586.56</v>
      </c>
      <c r="M135" s="42" t="s">
        <v>459</v>
      </c>
    </row>
    <row r="136" spans="1:13">
      <c r="A136" s="40">
        <v>7</v>
      </c>
      <c r="B136" s="39" t="s">
        <v>75</v>
      </c>
      <c r="C136" s="43" t="s">
        <v>417</v>
      </c>
      <c r="D136" s="43" t="s">
        <v>417</v>
      </c>
      <c r="E136" s="43">
        <v>611021</v>
      </c>
      <c r="F136" s="40">
        <v>2210</v>
      </c>
      <c r="G136" s="40">
        <v>1113</v>
      </c>
      <c r="H136" s="39" t="s">
        <v>422</v>
      </c>
      <c r="I136" s="39" t="s">
        <v>12</v>
      </c>
      <c r="J136" s="48">
        <v>2</v>
      </c>
      <c r="K136" s="42">
        <v>4973.57</v>
      </c>
      <c r="L136" s="49">
        <v>9947.14</v>
      </c>
      <c r="M136" s="42" t="s">
        <v>459</v>
      </c>
    </row>
    <row r="137" spans="1:13">
      <c r="A137" s="40">
        <v>8</v>
      </c>
      <c r="B137" s="39" t="s">
        <v>75</v>
      </c>
      <c r="C137" s="43" t="s">
        <v>417</v>
      </c>
      <c r="D137" s="43" t="s">
        <v>417</v>
      </c>
      <c r="E137" s="43">
        <v>611021</v>
      </c>
      <c r="F137" s="40">
        <v>2210</v>
      </c>
      <c r="G137" s="40">
        <v>1113</v>
      </c>
      <c r="H137" s="39" t="s">
        <v>58</v>
      </c>
      <c r="I137" s="39" t="s">
        <v>12</v>
      </c>
      <c r="J137" s="48">
        <v>3</v>
      </c>
      <c r="K137" s="42">
        <v>3201.54</v>
      </c>
      <c r="L137" s="49">
        <v>9604.6200000000008</v>
      </c>
      <c r="M137" s="42" t="s">
        <v>459</v>
      </c>
    </row>
    <row r="138" spans="1:13">
      <c r="A138" s="40">
        <v>9</v>
      </c>
      <c r="B138" s="39" t="s">
        <v>75</v>
      </c>
      <c r="C138" s="43" t="s">
        <v>417</v>
      </c>
      <c r="D138" s="43" t="s">
        <v>417</v>
      </c>
      <c r="E138" s="43">
        <v>611021</v>
      </c>
      <c r="F138" s="40">
        <v>2210</v>
      </c>
      <c r="G138" s="40">
        <v>1113</v>
      </c>
      <c r="H138" s="39" t="s">
        <v>436</v>
      </c>
      <c r="I138" s="39" t="s">
        <v>12</v>
      </c>
      <c r="J138" s="48">
        <v>6</v>
      </c>
      <c r="K138" s="42">
        <v>412.19</v>
      </c>
      <c r="L138" s="49">
        <v>2473.14</v>
      </c>
      <c r="M138" s="42" t="s">
        <v>459</v>
      </c>
    </row>
    <row r="139" spans="1:13">
      <c r="A139" s="40">
        <v>10</v>
      </c>
      <c r="B139" s="39" t="s">
        <v>75</v>
      </c>
      <c r="C139" s="43" t="s">
        <v>417</v>
      </c>
      <c r="D139" s="43" t="s">
        <v>417</v>
      </c>
      <c r="E139" s="43">
        <v>611021</v>
      </c>
      <c r="F139" s="40">
        <v>2210</v>
      </c>
      <c r="G139" s="40">
        <v>1113</v>
      </c>
      <c r="H139" s="39" t="s">
        <v>437</v>
      </c>
      <c r="I139" s="39" t="s">
        <v>12</v>
      </c>
      <c r="J139" s="48">
        <v>5</v>
      </c>
      <c r="K139" s="42">
        <v>567.37</v>
      </c>
      <c r="L139" s="49">
        <v>2836.85</v>
      </c>
      <c r="M139" s="42" t="s">
        <v>459</v>
      </c>
    </row>
    <row r="140" spans="1:13">
      <c r="A140" s="40">
        <v>11</v>
      </c>
      <c r="B140" s="39" t="s">
        <v>75</v>
      </c>
      <c r="C140" s="43" t="s">
        <v>417</v>
      </c>
      <c r="D140" s="43" t="s">
        <v>417</v>
      </c>
      <c r="E140" s="43">
        <v>611021</v>
      </c>
      <c r="F140" s="40">
        <v>2210</v>
      </c>
      <c r="G140" s="40">
        <v>1113</v>
      </c>
      <c r="H140" s="39" t="s">
        <v>61</v>
      </c>
      <c r="I140" s="39" t="s">
        <v>12</v>
      </c>
      <c r="J140" s="48">
        <v>5</v>
      </c>
      <c r="K140" s="42">
        <v>1443.88</v>
      </c>
      <c r="L140" s="49">
        <v>7219.4</v>
      </c>
      <c r="M140" s="42" t="s">
        <v>459</v>
      </c>
    </row>
    <row r="141" spans="1:13">
      <c r="A141" s="40">
        <v>12</v>
      </c>
      <c r="B141" s="39" t="s">
        <v>75</v>
      </c>
      <c r="C141" s="43" t="s">
        <v>417</v>
      </c>
      <c r="D141" s="43" t="s">
        <v>417</v>
      </c>
      <c r="E141" s="43">
        <v>611021</v>
      </c>
      <c r="F141" s="40">
        <v>2210</v>
      </c>
      <c r="G141" s="40">
        <v>1113</v>
      </c>
      <c r="H141" s="39" t="s">
        <v>467</v>
      </c>
      <c r="I141" s="39" t="s">
        <v>12</v>
      </c>
      <c r="J141" s="48">
        <v>9</v>
      </c>
      <c r="K141" s="42">
        <v>3033.73</v>
      </c>
      <c r="L141" s="49">
        <v>27303.57</v>
      </c>
      <c r="M141" s="42" t="s">
        <v>459</v>
      </c>
    </row>
    <row r="142" spans="1:13">
      <c r="A142" s="40">
        <v>13</v>
      </c>
      <c r="B142" s="39" t="s">
        <v>75</v>
      </c>
      <c r="C142" s="43" t="s">
        <v>417</v>
      </c>
      <c r="D142" s="43" t="s">
        <v>417</v>
      </c>
      <c r="E142" s="43">
        <v>611021</v>
      </c>
      <c r="F142" s="40">
        <v>2210</v>
      </c>
      <c r="G142" s="40">
        <v>1113</v>
      </c>
      <c r="H142" s="39" t="s">
        <v>439</v>
      </c>
      <c r="I142" s="39" t="s">
        <v>12</v>
      </c>
      <c r="J142" s="48">
        <v>1</v>
      </c>
      <c r="K142" s="42">
        <v>185.9</v>
      </c>
      <c r="L142" s="49">
        <v>185.9</v>
      </c>
      <c r="M142" s="42" t="s">
        <v>459</v>
      </c>
    </row>
    <row r="143" spans="1:13">
      <c r="A143" s="40">
        <v>14</v>
      </c>
      <c r="B143" s="39" t="s">
        <v>75</v>
      </c>
      <c r="C143" s="43" t="s">
        <v>417</v>
      </c>
      <c r="D143" s="43" t="s">
        <v>417</v>
      </c>
      <c r="E143" s="43">
        <v>611021</v>
      </c>
      <c r="F143" s="40">
        <v>2210</v>
      </c>
      <c r="G143" s="40">
        <v>1113</v>
      </c>
      <c r="H143" s="39" t="s">
        <v>440</v>
      </c>
      <c r="I143" s="39" t="s">
        <v>12</v>
      </c>
      <c r="J143" s="48">
        <v>1</v>
      </c>
      <c r="K143" s="42">
        <v>6980</v>
      </c>
      <c r="L143" s="49">
        <v>6980</v>
      </c>
      <c r="M143" s="42" t="s">
        <v>459</v>
      </c>
    </row>
    <row r="144" spans="1:13">
      <c r="A144" s="40">
        <v>15</v>
      </c>
      <c r="B144" s="39" t="s">
        <v>75</v>
      </c>
      <c r="C144" s="43" t="s">
        <v>417</v>
      </c>
      <c r="D144" s="43" t="s">
        <v>417</v>
      </c>
      <c r="E144" s="43">
        <v>611021</v>
      </c>
      <c r="F144" s="40">
        <v>2210</v>
      </c>
      <c r="G144" s="40">
        <v>1113</v>
      </c>
      <c r="H144" s="39" t="s">
        <v>441</v>
      </c>
      <c r="I144" s="39" t="s">
        <v>12</v>
      </c>
      <c r="J144" s="48">
        <v>1</v>
      </c>
      <c r="K144" s="42">
        <v>3255</v>
      </c>
      <c r="L144" s="49">
        <v>3255</v>
      </c>
      <c r="M144" s="42" t="s">
        <v>459</v>
      </c>
    </row>
    <row r="145" spans="1:13">
      <c r="A145" s="40">
        <v>16</v>
      </c>
      <c r="B145" s="39" t="s">
        <v>75</v>
      </c>
      <c r="C145" s="43" t="s">
        <v>417</v>
      </c>
      <c r="D145" s="43" t="s">
        <v>417</v>
      </c>
      <c r="E145" s="43">
        <v>611021</v>
      </c>
      <c r="F145" s="40">
        <v>2210</v>
      </c>
      <c r="G145" s="40">
        <v>1113</v>
      </c>
      <c r="H145" s="39" t="s">
        <v>442</v>
      </c>
      <c r="I145" s="39" t="s">
        <v>12</v>
      </c>
      <c r="J145" s="48">
        <v>1</v>
      </c>
      <c r="K145" s="42">
        <v>3488</v>
      </c>
      <c r="L145" s="49">
        <v>3488</v>
      </c>
      <c r="M145" s="42" t="s">
        <v>459</v>
      </c>
    </row>
    <row r="146" spans="1:13">
      <c r="A146" s="40">
        <v>17</v>
      </c>
      <c r="B146" s="39" t="s">
        <v>75</v>
      </c>
      <c r="C146" s="43" t="s">
        <v>417</v>
      </c>
      <c r="D146" s="43" t="s">
        <v>417</v>
      </c>
      <c r="E146" s="43">
        <v>611021</v>
      </c>
      <c r="F146" s="40">
        <v>2210</v>
      </c>
      <c r="G146" s="40">
        <v>1113</v>
      </c>
      <c r="H146" s="39" t="s">
        <v>444</v>
      </c>
      <c r="I146" s="39" t="s">
        <v>12</v>
      </c>
      <c r="J146" s="48">
        <v>1</v>
      </c>
      <c r="K146" s="42">
        <v>1683</v>
      </c>
      <c r="L146" s="49">
        <v>1683</v>
      </c>
      <c r="M146" s="42" t="s">
        <v>459</v>
      </c>
    </row>
    <row r="147" spans="1:13">
      <c r="A147" s="40">
        <v>18</v>
      </c>
      <c r="B147" s="39" t="s">
        <v>75</v>
      </c>
      <c r="C147" s="43" t="s">
        <v>417</v>
      </c>
      <c r="D147" s="43" t="s">
        <v>417</v>
      </c>
      <c r="E147" s="43">
        <v>611021</v>
      </c>
      <c r="F147" s="40">
        <v>2210</v>
      </c>
      <c r="G147" s="40">
        <v>1113</v>
      </c>
      <c r="H147" s="39" t="s">
        <v>468</v>
      </c>
      <c r="I147" s="39" t="s">
        <v>12</v>
      </c>
      <c r="J147" s="48">
        <v>1</v>
      </c>
      <c r="K147" s="42">
        <v>284</v>
      </c>
      <c r="L147" s="49">
        <v>284</v>
      </c>
      <c r="M147" s="42" t="s">
        <v>459</v>
      </c>
    </row>
    <row r="148" spans="1:13">
      <c r="A148" s="40">
        <v>19</v>
      </c>
      <c r="B148" s="39" t="s">
        <v>75</v>
      </c>
      <c r="C148" s="43" t="s">
        <v>417</v>
      </c>
      <c r="D148" s="43" t="s">
        <v>417</v>
      </c>
      <c r="E148" s="43">
        <v>611021</v>
      </c>
      <c r="F148" s="40">
        <v>2210</v>
      </c>
      <c r="G148" s="40">
        <v>1113</v>
      </c>
      <c r="H148" s="39" t="s">
        <v>445</v>
      </c>
      <c r="I148" s="39" t="s">
        <v>12</v>
      </c>
      <c r="J148" s="48">
        <v>1</v>
      </c>
      <c r="K148" s="42">
        <v>2578</v>
      </c>
      <c r="L148" s="49">
        <v>2578</v>
      </c>
      <c r="M148" s="42" t="s">
        <v>459</v>
      </c>
    </row>
    <row r="149" spans="1:13">
      <c r="A149" s="40">
        <v>20</v>
      </c>
      <c r="B149" s="39" t="s">
        <v>75</v>
      </c>
      <c r="C149" s="43" t="s">
        <v>417</v>
      </c>
      <c r="D149" s="43" t="s">
        <v>417</v>
      </c>
      <c r="E149" s="43">
        <v>611021</v>
      </c>
      <c r="F149" s="40">
        <v>2210</v>
      </c>
      <c r="G149" s="40">
        <v>1113</v>
      </c>
      <c r="H149" s="39" t="s">
        <v>445</v>
      </c>
      <c r="I149" s="39" t="s">
        <v>12</v>
      </c>
      <c r="J149" s="48">
        <v>1</v>
      </c>
      <c r="K149" s="42">
        <v>4988</v>
      </c>
      <c r="L149" s="49">
        <v>4988</v>
      </c>
      <c r="M149" s="42" t="s">
        <v>459</v>
      </c>
    </row>
    <row r="150" spans="1:13">
      <c r="A150" s="40">
        <v>21</v>
      </c>
      <c r="B150" s="39" t="s">
        <v>75</v>
      </c>
      <c r="C150" s="43" t="s">
        <v>417</v>
      </c>
      <c r="D150" s="43" t="s">
        <v>417</v>
      </c>
      <c r="E150" s="43">
        <v>611021</v>
      </c>
      <c r="F150" s="40">
        <v>2210</v>
      </c>
      <c r="G150" s="40">
        <v>1113</v>
      </c>
      <c r="H150" s="39" t="s">
        <v>446</v>
      </c>
      <c r="I150" s="39" t="s">
        <v>12</v>
      </c>
      <c r="J150" s="48">
        <v>1</v>
      </c>
      <c r="K150" s="42">
        <v>2078</v>
      </c>
      <c r="L150" s="49">
        <v>2078</v>
      </c>
      <c r="M150" s="42" t="s">
        <v>459</v>
      </c>
    </row>
    <row r="151" spans="1:13">
      <c r="A151" s="40">
        <v>22</v>
      </c>
      <c r="B151" s="39" t="s">
        <v>75</v>
      </c>
      <c r="C151" s="43" t="s">
        <v>417</v>
      </c>
      <c r="D151" s="43" t="s">
        <v>417</v>
      </c>
      <c r="E151" s="43">
        <v>611021</v>
      </c>
      <c r="F151" s="40">
        <v>2210</v>
      </c>
      <c r="G151" s="40">
        <v>1113</v>
      </c>
      <c r="H151" s="39" t="s">
        <v>447</v>
      </c>
      <c r="I151" s="39" t="s">
        <v>12</v>
      </c>
      <c r="J151" s="48">
        <v>1</v>
      </c>
      <c r="K151" s="42">
        <v>3688</v>
      </c>
      <c r="L151" s="49">
        <v>3688</v>
      </c>
      <c r="M151" s="42" t="s">
        <v>459</v>
      </c>
    </row>
    <row r="152" spans="1:13">
      <c r="A152" s="40">
        <v>23</v>
      </c>
      <c r="B152" s="39" t="s">
        <v>75</v>
      </c>
      <c r="C152" s="43" t="s">
        <v>417</v>
      </c>
      <c r="D152" s="43" t="s">
        <v>417</v>
      </c>
      <c r="E152" s="43">
        <v>611021</v>
      </c>
      <c r="F152" s="40">
        <v>2210</v>
      </c>
      <c r="G152" s="40">
        <v>1113</v>
      </c>
      <c r="H152" s="39" t="s">
        <v>448</v>
      </c>
      <c r="I152" s="39" t="s">
        <v>12</v>
      </c>
      <c r="J152" s="48">
        <v>1</v>
      </c>
      <c r="K152" s="42">
        <v>3898</v>
      </c>
      <c r="L152" s="49">
        <v>3898</v>
      </c>
      <c r="M152" s="42" t="s">
        <v>459</v>
      </c>
    </row>
    <row r="153" spans="1:13">
      <c r="A153" s="40">
        <v>24</v>
      </c>
      <c r="B153" s="39" t="s">
        <v>75</v>
      </c>
      <c r="C153" s="43" t="s">
        <v>417</v>
      </c>
      <c r="D153" s="43" t="s">
        <v>417</v>
      </c>
      <c r="E153" s="43">
        <v>611021</v>
      </c>
      <c r="F153" s="40">
        <v>2210</v>
      </c>
      <c r="G153" s="40">
        <v>1113</v>
      </c>
      <c r="H153" s="39" t="s">
        <v>449</v>
      </c>
      <c r="I153" s="39" t="s">
        <v>12</v>
      </c>
      <c r="J153" s="48">
        <v>1</v>
      </c>
      <c r="K153" s="42">
        <v>388</v>
      </c>
      <c r="L153" s="49">
        <v>388</v>
      </c>
      <c r="M153" s="42" t="s">
        <v>459</v>
      </c>
    </row>
    <row r="154" spans="1:13">
      <c r="A154" s="40">
        <v>25</v>
      </c>
      <c r="B154" s="39" t="s">
        <v>75</v>
      </c>
      <c r="C154" s="43" t="s">
        <v>417</v>
      </c>
      <c r="D154" s="43" t="s">
        <v>417</v>
      </c>
      <c r="E154" s="43">
        <v>611021</v>
      </c>
      <c r="F154" s="40">
        <v>2210</v>
      </c>
      <c r="G154" s="40">
        <v>1113</v>
      </c>
      <c r="H154" s="39" t="s">
        <v>450</v>
      </c>
      <c r="I154" s="39" t="s">
        <v>12</v>
      </c>
      <c r="J154" s="48">
        <v>12</v>
      </c>
      <c r="K154" s="42">
        <v>622</v>
      </c>
      <c r="L154" s="49">
        <v>7464</v>
      </c>
      <c r="M154" s="42" t="s">
        <v>459</v>
      </c>
    </row>
    <row r="155" spans="1:13">
      <c r="A155" s="40">
        <v>26</v>
      </c>
      <c r="B155" s="39" t="s">
        <v>75</v>
      </c>
      <c r="C155" s="43" t="s">
        <v>417</v>
      </c>
      <c r="D155" s="43" t="s">
        <v>417</v>
      </c>
      <c r="E155" s="43">
        <v>611021</v>
      </c>
      <c r="F155" s="40">
        <v>2210</v>
      </c>
      <c r="G155" s="40">
        <v>1113</v>
      </c>
      <c r="H155" s="39" t="s">
        <v>451</v>
      </c>
      <c r="I155" s="39" t="s">
        <v>12</v>
      </c>
      <c r="J155" s="48">
        <v>1</v>
      </c>
      <c r="K155" s="42">
        <v>10980</v>
      </c>
      <c r="L155" s="49">
        <v>10980</v>
      </c>
      <c r="M155" s="42" t="s">
        <v>459</v>
      </c>
    </row>
    <row r="156" spans="1:13">
      <c r="A156" s="40">
        <v>27</v>
      </c>
      <c r="B156" s="39" t="s">
        <v>75</v>
      </c>
      <c r="C156" s="43" t="s">
        <v>417</v>
      </c>
      <c r="D156" s="43" t="s">
        <v>417</v>
      </c>
      <c r="E156" s="43">
        <v>611021</v>
      </c>
      <c r="F156" s="40">
        <v>2210</v>
      </c>
      <c r="G156" s="40">
        <v>1113</v>
      </c>
      <c r="H156" s="39" t="s">
        <v>452</v>
      </c>
      <c r="I156" s="39" t="s">
        <v>12</v>
      </c>
      <c r="J156" s="48">
        <v>1</v>
      </c>
      <c r="K156" s="42">
        <v>160</v>
      </c>
      <c r="L156" s="49">
        <v>160</v>
      </c>
      <c r="M156" s="42" t="s">
        <v>459</v>
      </c>
    </row>
    <row r="157" spans="1:13">
      <c r="A157" s="40">
        <v>28</v>
      </c>
      <c r="B157" s="39" t="s">
        <v>75</v>
      </c>
      <c r="C157" s="43" t="s">
        <v>417</v>
      </c>
      <c r="D157" s="43" t="s">
        <v>417</v>
      </c>
      <c r="E157" s="43">
        <v>611021</v>
      </c>
      <c r="F157" s="40">
        <v>2210</v>
      </c>
      <c r="G157" s="40">
        <v>1113</v>
      </c>
      <c r="H157" s="39" t="s">
        <v>453</v>
      </c>
      <c r="I157" s="39" t="s">
        <v>12</v>
      </c>
      <c r="J157" s="48">
        <v>10</v>
      </c>
      <c r="K157" s="42">
        <v>3798</v>
      </c>
      <c r="L157" s="49">
        <v>37980</v>
      </c>
      <c r="M157" s="42" t="s">
        <v>459</v>
      </c>
    </row>
    <row r="158" spans="1:13">
      <c r="A158" s="40">
        <v>29</v>
      </c>
      <c r="B158" s="39" t="s">
        <v>75</v>
      </c>
      <c r="C158" s="43" t="s">
        <v>417</v>
      </c>
      <c r="D158" s="43" t="s">
        <v>417</v>
      </c>
      <c r="E158" s="43">
        <v>611021</v>
      </c>
      <c r="F158" s="40">
        <v>2210</v>
      </c>
      <c r="G158" s="40">
        <v>1113</v>
      </c>
      <c r="H158" s="39" t="s">
        <v>469</v>
      </c>
      <c r="I158" s="39" t="s">
        <v>12</v>
      </c>
      <c r="J158" s="48">
        <v>4</v>
      </c>
      <c r="K158" s="42">
        <v>8573.44</v>
      </c>
      <c r="L158" s="49">
        <v>34293.760000000002</v>
      </c>
      <c r="M158" s="42" t="s">
        <v>459</v>
      </c>
    </row>
    <row r="159" spans="1:13">
      <c r="A159" s="40">
        <v>30</v>
      </c>
      <c r="B159" s="39" t="s">
        <v>75</v>
      </c>
      <c r="C159" s="43" t="s">
        <v>417</v>
      </c>
      <c r="D159" s="43" t="s">
        <v>417</v>
      </c>
      <c r="E159" s="43">
        <v>613230</v>
      </c>
      <c r="F159" s="40">
        <v>2210</v>
      </c>
      <c r="G159" s="40" t="s">
        <v>11</v>
      </c>
      <c r="H159" s="39" t="s">
        <v>455</v>
      </c>
      <c r="I159" s="39" t="s">
        <v>12</v>
      </c>
      <c r="J159" s="48">
        <v>1</v>
      </c>
      <c r="K159" s="42">
        <v>1006</v>
      </c>
      <c r="L159" s="49">
        <v>1006</v>
      </c>
      <c r="M159" s="42" t="s">
        <v>459</v>
      </c>
    </row>
    <row r="160" spans="1:13">
      <c r="A160" s="40">
        <v>31</v>
      </c>
      <c r="B160" s="39" t="s">
        <v>75</v>
      </c>
      <c r="C160" s="43" t="s">
        <v>417</v>
      </c>
      <c r="D160" s="43" t="s">
        <v>417</v>
      </c>
      <c r="E160" s="43">
        <v>613230</v>
      </c>
      <c r="F160" s="40">
        <v>2210</v>
      </c>
      <c r="G160" s="40" t="s">
        <v>11</v>
      </c>
      <c r="H160" s="39" t="s">
        <v>302</v>
      </c>
      <c r="I160" s="39" t="s">
        <v>12</v>
      </c>
      <c r="J160" s="48">
        <v>1</v>
      </c>
      <c r="K160" s="42">
        <v>1780</v>
      </c>
      <c r="L160" s="49">
        <v>1780</v>
      </c>
      <c r="M160" s="42" t="s">
        <v>459</v>
      </c>
    </row>
    <row r="161" spans="1:13">
      <c r="A161" s="40">
        <v>32</v>
      </c>
      <c r="B161" s="39" t="s">
        <v>75</v>
      </c>
      <c r="C161" s="43" t="s">
        <v>417</v>
      </c>
      <c r="D161" s="43" t="s">
        <v>417</v>
      </c>
      <c r="E161" s="43">
        <v>613230</v>
      </c>
      <c r="F161" s="40">
        <v>2210</v>
      </c>
      <c r="G161" s="40" t="s">
        <v>11</v>
      </c>
      <c r="H161" s="39" t="s">
        <v>454</v>
      </c>
      <c r="I161" s="39" t="s">
        <v>12</v>
      </c>
      <c r="J161" s="48">
        <v>10</v>
      </c>
      <c r="K161" s="42">
        <v>18.899999999999999</v>
      </c>
      <c r="L161" s="49">
        <v>189</v>
      </c>
      <c r="M161" s="42" t="s">
        <v>459</v>
      </c>
    </row>
    <row r="162" spans="1:13">
      <c r="A162" s="40">
        <v>33</v>
      </c>
      <c r="B162" s="39" t="s">
        <v>75</v>
      </c>
      <c r="C162" s="43" t="s">
        <v>417</v>
      </c>
      <c r="D162" s="43" t="s">
        <v>417</v>
      </c>
      <c r="E162" s="43">
        <v>613230</v>
      </c>
      <c r="F162" s="40">
        <v>2210</v>
      </c>
      <c r="G162" s="40" t="s">
        <v>11</v>
      </c>
      <c r="H162" s="39" t="s">
        <v>20</v>
      </c>
      <c r="I162" s="39" t="s">
        <v>12</v>
      </c>
      <c r="J162" s="48">
        <v>5</v>
      </c>
      <c r="K162" s="42">
        <v>48.48</v>
      </c>
      <c r="L162" s="49">
        <v>242.4</v>
      </c>
      <c r="M162" s="42" t="s">
        <v>459</v>
      </c>
    </row>
    <row r="163" spans="1:13">
      <c r="A163" s="40">
        <v>34</v>
      </c>
      <c r="B163" s="39" t="s">
        <v>75</v>
      </c>
      <c r="C163" s="43" t="s">
        <v>417</v>
      </c>
      <c r="D163" s="43" t="s">
        <v>417</v>
      </c>
      <c r="E163" s="43">
        <v>613230</v>
      </c>
      <c r="F163" s="40">
        <v>2210</v>
      </c>
      <c r="G163" s="40" t="s">
        <v>11</v>
      </c>
      <c r="H163" s="39" t="s">
        <v>434</v>
      </c>
      <c r="I163" s="39" t="s">
        <v>12</v>
      </c>
      <c r="J163" s="48">
        <v>20</v>
      </c>
      <c r="K163" s="42">
        <v>6.06</v>
      </c>
      <c r="L163" s="49">
        <v>121.2</v>
      </c>
      <c r="M163" s="42" t="s">
        <v>459</v>
      </c>
    </row>
    <row r="164" spans="1:13">
      <c r="A164" s="40">
        <v>35</v>
      </c>
      <c r="B164" s="39" t="s">
        <v>75</v>
      </c>
      <c r="C164" s="43" t="s">
        <v>417</v>
      </c>
      <c r="D164" s="43" t="s">
        <v>417</v>
      </c>
      <c r="E164" s="43">
        <v>613230</v>
      </c>
      <c r="F164" s="40">
        <v>2210</v>
      </c>
      <c r="G164" s="40" t="s">
        <v>11</v>
      </c>
      <c r="H164" s="39" t="s">
        <v>433</v>
      </c>
      <c r="I164" s="39" t="s">
        <v>12</v>
      </c>
      <c r="J164" s="48">
        <v>5</v>
      </c>
      <c r="K164" s="42">
        <v>31.38</v>
      </c>
      <c r="L164" s="49">
        <v>156.9</v>
      </c>
      <c r="M164" s="42" t="s">
        <v>459</v>
      </c>
    </row>
    <row r="165" spans="1:13">
      <c r="A165" s="40">
        <v>36</v>
      </c>
      <c r="B165" s="39" t="s">
        <v>75</v>
      </c>
      <c r="C165" s="43" t="s">
        <v>417</v>
      </c>
      <c r="D165" s="43" t="s">
        <v>417</v>
      </c>
      <c r="E165" s="43">
        <v>613230</v>
      </c>
      <c r="F165" s="40">
        <v>2210</v>
      </c>
      <c r="G165" s="40" t="s">
        <v>11</v>
      </c>
      <c r="H165" s="39" t="s">
        <v>432</v>
      </c>
      <c r="I165" s="39" t="s">
        <v>12</v>
      </c>
      <c r="J165" s="48">
        <v>10</v>
      </c>
      <c r="K165" s="42">
        <v>16.440000000000001</v>
      </c>
      <c r="L165" s="49">
        <v>164.4</v>
      </c>
      <c r="M165" s="42" t="s">
        <v>459</v>
      </c>
    </row>
    <row r="166" spans="1:13">
      <c r="A166" s="40">
        <v>37</v>
      </c>
      <c r="B166" s="39" t="s">
        <v>75</v>
      </c>
      <c r="C166" s="43" t="s">
        <v>417</v>
      </c>
      <c r="D166" s="43" t="s">
        <v>417</v>
      </c>
      <c r="E166" s="43">
        <v>613230</v>
      </c>
      <c r="F166" s="40">
        <v>2210</v>
      </c>
      <c r="G166" s="40" t="s">
        <v>11</v>
      </c>
      <c r="H166" s="39" t="s">
        <v>431</v>
      </c>
      <c r="I166" s="39" t="s">
        <v>12</v>
      </c>
      <c r="J166" s="48">
        <v>41</v>
      </c>
      <c r="K166" s="42"/>
      <c r="L166" s="49">
        <f>1735.44+1477.44+5918.4+5229.6+3483.3+4165.8</f>
        <v>22009.98</v>
      </c>
      <c r="M166" s="42" t="s">
        <v>459</v>
      </c>
    </row>
    <row r="167" spans="1:13">
      <c r="A167" s="40">
        <v>38</v>
      </c>
      <c r="B167" s="39" t="s">
        <v>75</v>
      </c>
      <c r="C167" s="43" t="s">
        <v>417</v>
      </c>
      <c r="D167" s="43" t="s">
        <v>417</v>
      </c>
      <c r="E167" s="43">
        <v>613230</v>
      </c>
      <c r="F167" s="40">
        <v>2210</v>
      </c>
      <c r="G167" s="40" t="s">
        <v>11</v>
      </c>
      <c r="H167" s="39" t="s">
        <v>430</v>
      </c>
      <c r="I167" s="39" t="s">
        <v>12</v>
      </c>
      <c r="J167" s="48">
        <v>15</v>
      </c>
      <c r="K167" s="42">
        <v>96.36</v>
      </c>
      <c r="L167" s="49">
        <v>1445.4</v>
      </c>
      <c r="M167" s="42" t="s">
        <v>459</v>
      </c>
    </row>
    <row r="168" spans="1:13">
      <c r="A168" s="40">
        <v>39</v>
      </c>
      <c r="B168" s="39" t="s">
        <v>75</v>
      </c>
      <c r="C168" s="43" t="s">
        <v>417</v>
      </c>
      <c r="D168" s="43" t="s">
        <v>417</v>
      </c>
      <c r="E168" s="43">
        <v>613230</v>
      </c>
      <c r="F168" s="40">
        <v>2210</v>
      </c>
      <c r="G168" s="40" t="s">
        <v>11</v>
      </c>
      <c r="H168" s="39" t="s">
        <v>470</v>
      </c>
      <c r="I168" s="39" t="s">
        <v>12</v>
      </c>
      <c r="J168" s="48">
        <v>15</v>
      </c>
      <c r="K168" s="42">
        <v>160.74</v>
      </c>
      <c r="L168" s="49">
        <v>2411.1</v>
      </c>
      <c r="M168" s="42" t="s">
        <v>459</v>
      </c>
    </row>
    <row r="169" spans="1:13">
      <c r="A169" s="40">
        <v>40</v>
      </c>
      <c r="B169" s="39" t="s">
        <v>75</v>
      </c>
      <c r="C169" s="43" t="s">
        <v>417</v>
      </c>
      <c r="D169" s="43" t="s">
        <v>417</v>
      </c>
      <c r="E169" s="43">
        <v>613230</v>
      </c>
      <c r="F169" s="40">
        <v>2210</v>
      </c>
      <c r="G169" s="40" t="s">
        <v>11</v>
      </c>
      <c r="H169" s="39" t="s">
        <v>471</v>
      </c>
      <c r="I169" s="39" t="s">
        <v>12</v>
      </c>
      <c r="J169" s="48">
        <v>16</v>
      </c>
      <c r="K169" s="42">
        <v>35.64</v>
      </c>
      <c r="L169" s="49">
        <v>570.24</v>
      </c>
      <c r="M169" s="42" t="s">
        <v>459</v>
      </c>
    </row>
    <row r="170" spans="1:13">
      <c r="A170" s="40">
        <v>41</v>
      </c>
      <c r="B170" s="39" t="s">
        <v>75</v>
      </c>
      <c r="C170" s="43" t="s">
        <v>417</v>
      </c>
      <c r="D170" s="43" t="s">
        <v>417</v>
      </c>
      <c r="E170" s="43">
        <v>613230</v>
      </c>
      <c r="F170" s="40">
        <v>2210</v>
      </c>
      <c r="G170" s="40" t="s">
        <v>11</v>
      </c>
      <c r="H170" s="39" t="s">
        <v>427</v>
      </c>
      <c r="I170" s="39" t="s">
        <v>12</v>
      </c>
      <c r="J170" s="48">
        <v>20</v>
      </c>
      <c r="K170" s="42">
        <v>26.82</v>
      </c>
      <c r="L170" s="49">
        <v>536.4</v>
      </c>
      <c r="M170" s="42" t="s">
        <v>459</v>
      </c>
    </row>
    <row r="171" spans="1:13">
      <c r="A171" s="40">
        <v>42</v>
      </c>
      <c r="B171" s="39" t="s">
        <v>75</v>
      </c>
      <c r="C171" s="43" t="s">
        <v>417</v>
      </c>
      <c r="D171" s="43" t="s">
        <v>417</v>
      </c>
      <c r="E171" s="43">
        <v>613230</v>
      </c>
      <c r="F171" s="40">
        <v>2210</v>
      </c>
      <c r="G171" s="40" t="s">
        <v>11</v>
      </c>
      <c r="H171" s="39" t="s">
        <v>426</v>
      </c>
      <c r="I171" s="39" t="s">
        <v>12</v>
      </c>
      <c r="J171" s="48">
        <v>20</v>
      </c>
      <c r="K171" s="42">
        <v>82.74</v>
      </c>
      <c r="L171" s="49">
        <v>1654.8</v>
      </c>
      <c r="M171" s="42" t="s">
        <v>459</v>
      </c>
    </row>
    <row r="172" spans="1:13">
      <c r="A172" s="40">
        <v>43</v>
      </c>
      <c r="B172" s="39" t="s">
        <v>75</v>
      </c>
      <c r="C172" s="43" t="s">
        <v>417</v>
      </c>
      <c r="D172" s="43" t="s">
        <v>417</v>
      </c>
      <c r="E172" s="43">
        <v>613230</v>
      </c>
      <c r="F172" s="40">
        <v>2210</v>
      </c>
      <c r="G172" s="40" t="s">
        <v>11</v>
      </c>
      <c r="H172" s="39" t="s">
        <v>472</v>
      </c>
      <c r="I172" s="39" t="s">
        <v>12</v>
      </c>
      <c r="J172" s="48">
        <v>25</v>
      </c>
      <c r="K172" s="42">
        <v>122.22</v>
      </c>
      <c r="L172" s="49">
        <v>3055.5</v>
      </c>
      <c r="M172" s="42" t="s">
        <v>459</v>
      </c>
    </row>
    <row r="173" spans="1:13">
      <c r="A173" s="40">
        <v>44</v>
      </c>
      <c r="B173" s="39" t="s">
        <v>75</v>
      </c>
      <c r="C173" s="43" t="s">
        <v>417</v>
      </c>
      <c r="D173" s="43" t="s">
        <v>417</v>
      </c>
      <c r="E173" s="43">
        <v>613230</v>
      </c>
      <c r="F173" s="40">
        <v>2210</v>
      </c>
      <c r="G173" s="40" t="s">
        <v>11</v>
      </c>
      <c r="H173" s="39" t="s">
        <v>473</v>
      </c>
      <c r="I173" s="39" t="s">
        <v>12</v>
      </c>
      <c r="J173" s="48">
        <v>5</v>
      </c>
      <c r="K173" s="42">
        <v>236.04</v>
      </c>
      <c r="L173" s="49">
        <v>1180.2</v>
      </c>
      <c r="M173" s="42" t="s">
        <v>459</v>
      </c>
    </row>
    <row r="174" spans="1:13">
      <c r="A174" s="40">
        <v>45</v>
      </c>
      <c r="B174" s="39" t="s">
        <v>75</v>
      </c>
      <c r="C174" s="43" t="s">
        <v>417</v>
      </c>
      <c r="D174" s="43" t="s">
        <v>417</v>
      </c>
      <c r="E174" s="43">
        <v>613230</v>
      </c>
      <c r="F174" s="40">
        <v>2210</v>
      </c>
      <c r="G174" s="40" t="s">
        <v>11</v>
      </c>
      <c r="H174" s="39" t="s">
        <v>366</v>
      </c>
      <c r="I174" s="39" t="s">
        <v>12</v>
      </c>
      <c r="J174" s="48">
        <v>80</v>
      </c>
      <c r="K174" s="42">
        <v>25.08</v>
      </c>
      <c r="L174" s="49">
        <v>2006.4</v>
      </c>
      <c r="M174" s="42" t="s">
        <v>459</v>
      </c>
    </row>
    <row r="175" spans="1:13">
      <c r="A175" s="40">
        <v>46</v>
      </c>
      <c r="B175" s="39" t="s">
        <v>75</v>
      </c>
      <c r="C175" s="43" t="s">
        <v>417</v>
      </c>
      <c r="D175" s="43" t="s">
        <v>417</v>
      </c>
      <c r="E175" s="43">
        <v>613230</v>
      </c>
      <c r="F175" s="40">
        <v>2210</v>
      </c>
      <c r="G175" s="40" t="s">
        <v>11</v>
      </c>
      <c r="H175" s="39" t="s">
        <v>22</v>
      </c>
      <c r="I175" s="39" t="s">
        <v>12</v>
      </c>
      <c r="J175" s="48">
        <v>10</v>
      </c>
      <c r="K175" s="42">
        <v>308.16000000000003</v>
      </c>
      <c r="L175" s="49">
        <v>3081.6</v>
      </c>
      <c r="M175" s="42" t="s">
        <v>459</v>
      </c>
    </row>
    <row r="176" spans="1:13">
      <c r="A176" s="40">
        <v>47</v>
      </c>
      <c r="B176" s="39" t="s">
        <v>75</v>
      </c>
      <c r="C176" s="43" t="s">
        <v>417</v>
      </c>
      <c r="D176" s="43" t="s">
        <v>417</v>
      </c>
      <c r="E176" s="43">
        <v>613230</v>
      </c>
      <c r="F176" s="40">
        <v>2210</v>
      </c>
      <c r="G176" s="40" t="s">
        <v>11</v>
      </c>
      <c r="H176" s="39" t="s">
        <v>423</v>
      </c>
      <c r="I176" s="39" t="s">
        <v>12</v>
      </c>
      <c r="J176" s="48">
        <v>10</v>
      </c>
      <c r="K176" s="42">
        <v>106.62</v>
      </c>
      <c r="L176" s="49">
        <v>1066.2</v>
      </c>
      <c r="M176" s="42" t="s">
        <v>459</v>
      </c>
    </row>
    <row r="177" spans="1:13">
      <c r="A177" s="40">
        <v>48</v>
      </c>
      <c r="B177" s="39" t="s">
        <v>75</v>
      </c>
      <c r="C177" s="43" t="s">
        <v>417</v>
      </c>
      <c r="D177" s="43" t="s">
        <v>417</v>
      </c>
      <c r="E177" s="43">
        <v>613230</v>
      </c>
      <c r="F177" s="40">
        <v>2210</v>
      </c>
      <c r="G177" s="40" t="s">
        <v>11</v>
      </c>
      <c r="H177" s="39" t="s">
        <v>18</v>
      </c>
      <c r="I177" s="39" t="s">
        <v>12</v>
      </c>
      <c r="J177" s="48">
        <v>15</v>
      </c>
      <c r="K177" s="42">
        <v>150.06</v>
      </c>
      <c r="L177" s="49">
        <v>2250.9</v>
      </c>
      <c r="M177" s="42" t="s">
        <v>459</v>
      </c>
    </row>
    <row r="178" spans="1:13">
      <c r="A178" s="40">
        <v>49</v>
      </c>
      <c r="B178" s="39" t="s">
        <v>75</v>
      </c>
      <c r="C178" s="43" t="s">
        <v>417</v>
      </c>
      <c r="D178" s="43" t="s">
        <v>417</v>
      </c>
      <c r="E178" s="43">
        <v>613230</v>
      </c>
      <c r="F178" s="40">
        <v>2210</v>
      </c>
      <c r="G178" s="40" t="s">
        <v>11</v>
      </c>
      <c r="H178" s="39" t="s">
        <v>367</v>
      </c>
      <c r="I178" s="39" t="s">
        <v>12</v>
      </c>
      <c r="J178" s="48">
        <v>35</v>
      </c>
      <c r="K178" s="42">
        <v>392.94</v>
      </c>
      <c r="L178" s="49">
        <v>13752.9</v>
      </c>
      <c r="M178" s="42" t="s">
        <v>459</v>
      </c>
    </row>
    <row r="179" spans="1:13">
      <c r="A179" s="40">
        <v>50</v>
      </c>
      <c r="B179" s="39" t="s">
        <v>75</v>
      </c>
      <c r="C179" s="43" t="s">
        <v>410</v>
      </c>
      <c r="D179" s="43" t="s">
        <v>457</v>
      </c>
      <c r="E179" s="43">
        <v>613230</v>
      </c>
      <c r="F179" s="40">
        <v>2230</v>
      </c>
      <c r="G179" s="40" t="s">
        <v>411</v>
      </c>
      <c r="H179" s="39" t="s">
        <v>413</v>
      </c>
      <c r="I179" s="39" t="s">
        <v>12</v>
      </c>
      <c r="J179" s="41">
        <v>5</v>
      </c>
      <c r="K179" s="42">
        <v>1.5</v>
      </c>
      <c r="L179" s="42">
        <v>525</v>
      </c>
      <c r="M179" s="39" t="s">
        <v>459</v>
      </c>
    </row>
    <row r="180" spans="1:13">
      <c r="A180" s="45"/>
      <c r="B180" s="46"/>
      <c r="C180" s="47"/>
      <c r="D180" s="47"/>
      <c r="E180" s="47"/>
      <c r="F180" s="45"/>
      <c r="G180" s="45"/>
      <c r="H180" s="46" t="s">
        <v>14</v>
      </c>
      <c r="I180" s="46"/>
      <c r="J180" s="48"/>
      <c r="K180" s="49"/>
      <c r="L180" s="49">
        <f>SUM(L130:L179)</f>
        <v>382301.53000000014</v>
      </c>
      <c r="M180" s="46">
        <f>SUM(M130:M179)</f>
        <v>0</v>
      </c>
    </row>
    <row r="181" spans="1:13">
      <c r="A181" s="50">
        <v>1</v>
      </c>
      <c r="B181" s="51" t="s">
        <v>55</v>
      </c>
      <c r="C181" s="43" t="s">
        <v>115</v>
      </c>
      <c r="D181" s="43" t="s">
        <v>462</v>
      </c>
      <c r="E181" s="43">
        <v>611021</v>
      </c>
      <c r="F181" s="40">
        <v>3110</v>
      </c>
      <c r="G181" s="40">
        <v>1014</v>
      </c>
      <c r="H181" s="39" t="s">
        <v>460</v>
      </c>
      <c r="I181" s="39" t="s">
        <v>12</v>
      </c>
      <c r="J181" s="41">
        <v>1</v>
      </c>
      <c r="K181" s="42">
        <v>50998.33</v>
      </c>
      <c r="L181" s="42">
        <v>50998.33</v>
      </c>
      <c r="M181" s="42" t="s">
        <v>458</v>
      </c>
    </row>
    <row r="182" spans="1:13">
      <c r="A182" s="45"/>
      <c r="B182" s="46"/>
      <c r="C182" s="47"/>
      <c r="D182" s="47"/>
      <c r="E182" s="47"/>
      <c r="F182" s="45"/>
      <c r="G182" s="45"/>
      <c r="H182" s="46" t="s">
        <v>14</v>
      </c>
      <c r="I182" s="46"/>
      <c r="J182" s="48"/>
      <c r="K182" s="49"/>
      <c r="L182" s="49">
        <f>SUM(L181:L181)</f>
        <v>50998.33</v>
      </c>
      <c r="M182" s="46"/>
    </row>
    <row r="183" spans="1:13">
      <c r="A183" s="45"/>
      <c r="B183" s="46"/>
      <c r="C183" s="43" t="s">
        <v>115</v>
      </c>
      <c r="D183" s="43" t="s">
        <v>462</v>
      </c>
      <c r="E183" s="43">
        <v>611021</v>
      </c>
      <c r="F183" s="40">
        <v>3110</v>
      </c>
      <c r="G183" s="40">
        <v>1014</v>
      </c>
      <c r="H183" s="39" t="s">
        <v>460</v>
      </c>
      <c r="I183" s="39" t="s">
        <v>12</v>
      </c>
      <c r="J183" s="41">
        <v>1</v>
      </c>
      <c r="K183" s="42">
        <v>50998.33</v>
      </c>
      <c r="L183" s="42">
        <v>50998.33</v>
      </c>
      <c r="M183" s="42" t="s">
        <v>458</v>
      </c>
    </row>
    <row r="184" spans="1:13" s="57" customFormat="1">
      <c r="A184" s="50"/>
      <c r="B184" s="51" t="s">
        <v>168</v>
      </c>
      <c r="C184" s="43" t="s">
        <v>115</v>
      </c>
      <c r="D184" s="43" t="s">
        <v>461</v>
      </c>
      <c r="E184" s="43">
        <v>617520</v>
      </c>
      <c r="F184" s="40">
        <v>2210</v>
      </c>
      <c r="G184" s="40">
        <v>1113</v>
      </c>
      <c r="H184" s="39" t="s">
        <v>464</v>
      </c>
      <c r="I184" s="39" t="s">
        <v>12</v>
      </c>
      <c r="J184" s="41">
        <v>1</v>
      </c>
      <c r="K184" s="42">
        <v>9607.0499999999993</v>
      </c>
      <c r="L184" s="42">
        <v>9607.0499999999993</v>
      </c>
      <c r="M184" s="42" t="s">
        <v>458</v>
      </c>
    </row>
    <row r="185" spans="1:13">
      <c r="A185" s="45"/>
      <c r="B185" s="46"/>
      <c r="C185" s="47"/>
      <c r="D185" s="47"/>
      <c r="E185" s="47"/>
      <c r="F185" s="45"/>
      <c r="G185" s="45"/>
      <c r="H185" s="46" t="s">
        <v>14</v>
      </c>
      <c r="I185" s="46"/>
      <c r="J185" s="48"/>
      <c r="K185" s="49"/>
      <c r="L185" s="49">
        <f>SUM(L183:L184)</f>
        <v>60605.380000000005</v>
      </c>
      <c r="M185" s="46"/>
    </row>
    <row r="186" spans="1:13">
      <c r="A186" s="40">
        <v>1</v>
      </c>
      <c r="B186" s="39" t="s">
        <v>108</v>
      </c>
      <c r="C186" s="43"/>
      <c r="D186" s="43"/>
      <c r="E186" s="43"/>
      <c r="F186" s="40"/>
      <c r="G186" s="40"/>
      <c r="H186" s="39"/>
      <c r="I186" s="39"/>
      <c r="J186" s="41"/>
      <c r="K186" s="42"/>
      <c r="L186" s="52"/>
      <c r="M186" s="39"/>
    </row>
    <row r="187" spans="1:13">
      <c r="A187" s="45"/>
      <c r="B187" s="46"/>
      <c r="C187" s="47"/>
      <c r="D187" s="47"/>
      <c r="E187" s="47"/>
      <c r="F187" s="45"/>
      <c r="G187" s="45"/>
      <c r="H187" s="46" t="s">
        <v>14</v>
      </c>
      <c r="I187" s="46"/>
      <c r="J187" s="48"/>
      <c r="K187" s="49"/>
      <c r="L187" s="49">
        <f>SUM(L186:L186)</f>
        <v>0</v>
      </c>
      <c r="M187" s="46">
        <f>SUM(M186:M186)</f>
        <v>0</v>
      </c>
    </row>
    <row r="188" spans="1:13">
      <c r="A188" s="50">
        <v>1</v>
      </c>
      <c r="B188" s="51" t="s">
        <v>52</v>
      </c>
      <c r="C188" s="43" t="s">
        <v>115</v>
      </c>
      <c r="D188" s="43" t="s">
        <v>461</v>
      </c>
      <c r="E188" s="43">
        <v>617520</v>
      </c>
      <c r="F188" s="40">
        <v>2210</v>
      </c>
      <c r="G188" s="40">
        <v>1113</v>
      </c>
      <c r="H188" s="39" t="s">
        <v>463</v>
      </c>
      <c r="I188" s="39" t="s">
        <v>12</v>
      </c>
      <c r="J188" s="41">
        <v>1</v>
      </c>
      <c r="K188" s="42">
        <v>6808</v>
      </c>
      <c r="L188" s="42">
        <v>6808</v>
      </c>
      <c r="M188" s="42" t="s">
        <v>458</v>
      </c>
    </row>
    <row r="189" spans="1:13">
      <c r="A189" s="50">
        <v>2</v>
      </c>
      <c r="B189" s="51" t="s">
        <v>52</v>
      </c>
      <c r="C189" s="43" t="s">
        <v>115</v>
      </c>
      <c r="D189" s="43" t="s">
        <v>461</v>
      </c>
      <c r="E189" s="43">
        <v>617520</v>
      </c>
      <c r="F189" s="40">
        <v>2210</v>
      </c>
      <c r="G189" s="40">
        <v>1113</v>
      </c>
      <c r="H189" s="39" t="s">
        <v>464</v>
      </c>
      <c r="I189" s="39" t="s">
        <v>12</v>
      </c>
      <c r="J189" s="41">
        <v>2</v>
      </c>
      <c r="K189" s="42">
        <v>9607.0499999999993</v>
      </c>
      <c r="L189" s="42">
        <v>19214.099999999999</v>
      </c>
      <c r="M189" s="42" t="s">
        <v>458</v>
      </c>
    </row>
    <row r="190" spans="1:13">
      <c r="A190" s="50">
        <v>3</v>
      </c>
      <c r="B190" s="51" t="s">
        <v>52</v>
      </c>
      <c r="C190" s="43" t="s">
        <v>466</v>
      </c>
      <c r="D190" s="92" t="s">
        <v>43</v>
      </c>
      <c r="E190" s="43">
        <v>611021</v>
      </c>
      <c r="F190" s="40">
        <v>2210</v>
      </c>
      <c r="G190" s="40">
        <v>1113</v>
      </c>
      <c r="H190" s="39" t="s">
        <v>326</v>
      </c>
      <c r="I190" s="39" t="s">
        <v>12</v>
      </c>
      <c r="J190" s="41">
        <v>3</v>
      </c>
      <c r="K190" s="42">
        <v>40</v>
      </c>
      <c r="L190" s="42">
        <v>120</v>
      </c>
      <c r="M190" s="42" t="s">
        <v>458</v>
      </c>
    </row>
    <row r="191" spans="1:13">
      <c r="A191" s="50">
        <v>4</v>
      </c>
      <c r="B191" s="51" t="s">
        <v>52</v>
      </c>
      <c r="C191" s="43" t="s">
        <v>466</v>
      </c>
      <c r="D191" s="92" t="s">
        <v>43</v>
      </c>
      <c r="E191" s="43">
        <v>611021</v>
      </c>
      <c r="F191" s="40">
        <v>2210</v>
      </c>
      <c r="G191" s="40">
        <v>1113</v>
      </c>
      <c r="H191" s="39" t="s">
        <v>140</v>
      </c>
      <c r="I191" s="39" t="s">
        <v>12</v>
      </c>
      <c r="J191" s="41">
        <v>3</v>
      </c>
      <c r="K191" s="42">
        <v>200</v>
      </c>
      <c r="L191" s="42">
        <v>600</v>
      </c>
      <c r="M191" s="42" t="s">
        <v>458</v>
      </c>
    </row>
    <row r="192" spans="1:13">
      <c r="A192" s="50">
        <v>5</v>
      </c>
      <c r="B192" s="51" t="s">
        <v>52</v>
      </c>
      <c r="C192" s="43" t="s">
        <v>466</v>
      </c>
      <c r="D192" s="92" t="s">
        <v>43</v>
      </c>
      <c r="E192" s="43">
        <v>611021</v>
      </c>
      <c r="F192" s="40">
        <v>2210</v>
      </c>
      <c r="G192" s="40">
        <v>1114</v>
      </c>
      <c r="H192" s="39" t="s">
        <v>105</v>
      </c>
      <c r="I192" s="39" t="s">
        <v>12</v>
      </c>
      <c r="J192" s="41">
        <v>5</v>
      </c>
      <c r="K192" s="42">
        <v>10</v>
      </c>
      <c r="L192" s="42">
        <v>50</v>
      </c>
      <c r="M192" s="42" t="s">
        <v>458</v>
      </c>
    </row>
    <row r="193" spans="1:13">
      <c r="A193" s="50">
        <v>6</v>
      </c>
      <c r="B193" s="51" t="s">
        <v>52</v>
      </c>
      <c r="C193" s="43" t="s">
        <v>466</v>
      </c>
      <c r="D193" s="92" t="s">
        <v>43</v>
      </c>
      <c r="E193" s="43">
        <v>613242</v>
      </c>
      <c r="F193" s="40">
        <v>2210</v>
      </c>
      <c r="G193" s="40" t="s">
        <v>134</v>
      </c>
      <c r="H193" s="39" t="s">
        <v>474</v>
      </c>
      <c r="I193" s="39" t="s">
        <v>21</v>
      </c>
      <c r="J193" s="41">
        <f>3+6+1</f>
        <v>10</v>
      </c>
      <c r="K193" s="42"/>
      <c r="L193" s="42">
        <f>750+1560+270</f>
        <v>2580</v>
      </c>
      <c r="M193" s="42" t="s">
        <v>458</v>
      </c>
    </row>
    <row r="194" spans="1:13">
      <c r="A194" s="50">
        <v>7</v>
      </c>
      <c r="B194" s="51" t="s">
        <v>52</v>
      </c>
      <c r="C194" s="43" t="s">
        <v>466</v>
      </c>
      <c r="D194" s="92" t="s">
        <v>43</v>
      </c>
      <c r="E194" s="43">
        <v>613242</v>
      </c>
      <c r="F194" s="40">
        <v>2210</v>
      </c>
      <c r="G194" s="40" t="s">
        <v>134</v>
      </c>
      <c r="H194" s="39" t="s">
        <v>110</v>
      </c>
      <c r="I194" s="39" t="s">
        <v>21</v>
      </c>
      <c r="J194" s="41">
        <v>26</v>
      </c>
      <c r="K194" s="42">
        <v>12</v>
      </c>
      <c r="L194" s="42">
        <v>312</v>
      </c>
      <c r="M194" s="42" t="s">
        <v>458</v>
      </c>
    </row>
    <row r="195" spans="1:13">
      <c r="A195" s="50">
        <v>8</v>
      </c>
      <c r="B195" s="51" t="s">
        <v>52</v>
      </c>
      <c r="C195" s="43" t="s">
        <v>466</v>
      </c>
      <c r="D195" s="92" t="s">
        <v>43</v>
      </c>
      <c r="E195" s="43">
        <v>613242</v>
      </c>
      <c r="F195" s="40">
        <v>2210</v>
      </c>
      <c r="G195" s="40" t="s">
        <v>134</v>
      </c>
      <c r="H195" s="39" t="s">
        <v>45</v>
      </c>
      <c r="I195" s="39" t="s">
        <v>12</v>
      </c>
      <c r="J195" s="41">
        <v>9</v>
      </c>
      <c r="K195" s="42">
        <v>15</v>
      </c>
      <c r="L195" s="42">
        <v>135</v>
      </c>
      <c r="M195" s="42" t="s">
        <v>458</v>
      </c>
    </row>
    <row r="196" spans="1:13">
      <c r="A196" s="50">
        <v>9</v>
      </c>
      <c r="B196" s="51" t="s">
        <v>52</v>
      </c>
      <c r="C196" s="43" t="s">
        <v>466</v>
      </c>
      <c r="D196" s="92" t="s">
        <v>43</v>
      </c>
      <c r="E196" s="43">
        <v>613242</v>
      </c>
      <c r="F196" s="40">
        <v>2210</v>
      </c>
      <c r="G196" s="40" t="s">
        <v>134</v>
      </c>
      <c r="H196" s="39" t="s">
        <v>388</v>
      </c>
      <c r="I196" s="39" t="s">
        <v>12</v>
      </c>
      <c r="J196" s="41">
        <v>22</v>
      </c>
      <c r="K196" s="42">
        <v>9</v>
      </c>
      <c r="L196" s="42">
        <v>198</v>
      </c>
      <c r="M196" s="42" t="s">
        <v>458</v>
      </c>
    </row>
    <row r="197" spans="1:13">
      <c r="A197" s="50">
        <v>10</v>
      </c>
      <c r="B197" s="51" t="s">
        <v>52</v>
      </c>
      <c r="C197" s="43" t="s">
        <v>466</v>
      </c>
      <c r="D197" s="92" t="s">
        <v>43</v>
      </c>
      <c r="E197" s="43">
        <v>613242</v>
      </c>
      <c r="F197" s="40">
        <v>2230</v>
      </c>
      <c r="G197" s="40" t="s">
        <v>125</v>
      </c>
      <c r="H197" s="39" t="s">
        <v>235</v>
      </c>
      <c r="I197" s="39" t="s">
        <v>12</v>
      </c>
      <c r="J197" s="41">
        <f>4+7</f>
        <v>11</v>
      </c>
      <c r="K197" s="42"/>
      <c r="L197" s="42">
        <f>200+490</f>
        <v>690</v>
      </c>
      <c r="M197" s="42" t="s">
        <v>458</v>
      </c>
    </row>
    <row r="198" spans="1:13">
      <c r="A198" s="50">
        <v>11</v>
      </c>
      <c r="B198" s="51" t="s">
        <v>52</v>
      </c>
      <c r="C198" s="43" t="s">
        <v>466</v>
      </c>
      <c r="D198" s="92" t="s">
        <v>43</v>
      </c>
      <c r="E198" s="43">
        <v>613242</v>
      </c>
      <c r="F198" s="40">
        <v>2230</v>
      </c>
      <c r="G198" s="40" t="s">
        <v>125</v>
      </c>
      <c r="H198" s="39" t="s">
        <v>182</v>
      </c>
      <c r="I198" s="39" t="s">
        <v>12</v>
      </c>
      <c r="J198" s="41">
        <v>9</v>
      </c>
      <c r="K198" s="42">
        <v>35</v>
      </c>
      <c r="L198" s="42">
        <v>315</v>
      </c>
      <c r="M198" s="42" t="s">
        <v>458</v>
      </c>
    </row>
    <row r="199" spans="1:13">
      <c r="A199" s="50">
        <v>12</v>
      </c>
      <c r="B199" s="51" t="s">
        <v>52</v>
      </c>
      <c r="C199" s="43" t="s">
        <v>466</v>
      </c>
      <c r="D199" s="92" t="s">
        <v>43</v>
      </c>
      <c r="E199" s="43">
        <v>613242</v>
      </c>
      <c r="F199" s="40">
        <v>2230</v>
      </c>
      <c r="G199" s="40" t="s">
        <v>125</v>
      </c>
      <c r="H199" s="39" t="s">
        <v>322</v>
      </c>
      <c r="I199" s="39" t="s">
        <v>12</v>
      </c>
      <c r="J199" s="41">
        <v>32</v>
      </c>
      <c r="K199" s="42">
        <v>7</v>
      </c>
      <c r="L199" s="42">
        <v>224</v>
      </c>
      <c r="M199" s="42" t="s">
        <v>458</v>
      </c>
    </row>
    <row r="200" spans="1:13">
      <c r="A200" s="50">
        <v>13</v>
      </c>
      <c r="B200" s="51" t="s">
        <v>52</v>
      </c>
      <c r="C200" s="43" t="s">
        <v>466</v>
      </c>
      <c r="D200" s="92" t="s">
        <v>43</v>
      </c>
      <c r="E200" s="43">
        <v>613242</v>
      </c>
      <c r="F200" s="40">
        <v>2230</v>
      </c>
      <c r="G200" s="40" t="s">
        <v>125</v>
      </c>
      <c r="H200" s="39" t="s">
        <v>71</v>
      </c>
      <c r="I200" s="39" t="s">
        <v>27</v>
      </c>
      <c r="J200" s="41">
        <v>2</v>
      </c>
      <c r="K200" s="42">
        <v>30</v>
      </c>
      <c r="L200" s="42">
        <v>60</v>
      </c>
      <c r="M200" s="42" t="s">
        <v>458</v>
      </c>
    </row>
    <row r="201" spans="1:13">
      <c r="A201" s="45"/>
      <c r="B201" s="46"/>
      <c r="C201" s="47"/>
      <c r="D201" s="47"/>
      <c r="E201" s="47"/>
      <c r="F201" s="45"/>
      <c r="G201" s="45"/>
      <c r="H201" s="46" t="s">
        <v>14</v>
      </c>
      <c r="I201" s="46"/>
      <c r="J201" s="48"/>
      <c r="K201" s="49"/>
      <c r="L201" s="49">
        <f>SUM(L188:L200)</f>
        <v>31306.1</v>
      </c>
      <c r="M201" s="46">
        <f>SUM(M188:M200)</f>
        <v>0</v>
      </c>
    </row>
    <row r="202" spans="1:13">
      <c r="A202" s="50">
        <v>1</v>
      </c>
      <c r="B202" s="51" t="s">
        <v>84</v>
      </c>
      <c r="C202" s="43" t="s">
        <v>115</v>
      </c>
      <c r="D202" s="43" t="s">
        <v>462</v>
      </c>
      <c r="E202" s="43">
        <v>611021</v>
      </c>
      <c r="F202" s="40">
        <v>3110</v>
      </c>
      <c r="G202" s="40">
        <v>1014</v>
      </c>
      <c r="H202" s="39" t="s">
        <v>460</v>
      </c>
      <c r="I202" s="39" t="s">
        <v>12</v>
      </c>
      <c r="J202" s="41">
        <v>1</v>
      </c>
      <c r="K202" s="42">
        <v>50998.33</v>
      </c>
      <c r="L202" s="42">
        <f>J202*K202</f>
        <v>50998.33</v>
      </c>
      <c r="M202" s="42" t="s">
        <v>458</v>
      </c>
    </row>
    <row r="203" spans="1:13">
      <c r="A203" s="50">
        <v>2</v>
      </c>
      <c r="B203" s="51" t="s">
        <v>84</v>
      </c>
      <c r="C203" s="43" t="s">
        <v>115</v>
      </c>
      <c r="D203" s="43" t="s">
        <v>461</v>
      </c>
      <c r="E203" s="43">
        <v>617520</v>
      </c>
      <c r="F203" s="40">
        <v>2210</v>
      </c>
      <c r="G203" s="40">
        <v>1113</v>
      </c>
      <c r="H203" s="39" t="s">
        <v>463</v>
      </c>
      <c r="I203" s="39" t="s">
        <v>12</v>
      </c>
      <c r="J203" s="41">
        <v>1</v>
      </c>
      <c r="K203" s="42">
        <v>6808</v>
      </c>
      <c r="L203" s="42">
        <v>6808</v>
      </c>
      <c r="M203" s="42" t="s">
        <v>458</v>
      </c>
    </row>
    <row r="204" spans="1:13">
      <c r="A204" s="50"/>
      <c r="B204" s="51" t="s">
        <v>84</v>
      </c>
      <c r="C204" s="43" t="s">
        <v>115</v>
      </c>
      <c r="D204" s="43" t="s">
        <v>461</v>
      </c>
      <c r="E204" s="43">
        <v>617520</v>
      </c>
      <c r="F204" s="40">
        <v>2210</v>
      </c>
      <c r="G204" s="40">
        <v>1113</v>
      </c>
      <c r="H204" s="39" t="s">
        <v>464</v>
      </c>
      <c r="I204" s="39" t="s">
        <v>12</v>
      </c>
      <c r="J204" s="41">
        <v>1</v>
      </c>
      <c r="K204" s="42">
        <v>9607.0499999999993</v>
      </c>
      <c r="L204" s="42">
        <v>9607.0499999999993</v>
      </c>
      <c r="M204" s="42" t="s">
        <v>458</v>
      </c>
    </row>
    <row r="205" spans="1:13">
      <c r="A205" s="45"/>
      <c r="B205" s="46"/>
      <c r="C205" s="47"/>
      <c r="D205" s="47"/>
      <c r="E205" s="47"/>
      <c r="F205" s="45"/>
      <c r="G205" s="45"/>
      <c r="H205" s="46" t="s">
        <v>14</v>
      </c>
      <c r="I205" s="46"/>
      <c r="J205" s="48"/>
      <c r="K205" s="49"/>
      <c r="L205" s="49">
        <f>SUM(L202:L204)</f>
        <v>67413.38</v>
      </c>
      <c r="M205" s="46">
        <f>SUM(M202:M204)</f>
        <v>0</v>
      </c>
    </row>
    <row r="206" spans="1:13">
      <c r="A206" s="40">
        <v>1</v>
      </c>
      <c r="B206" s="39" t="s">
        <v>112</v>
      </c>
      <c r="C206" s="43" t="s">
        <v>115</v>
      </c>
      <c r="D206" s="43" t="s">
        <v>465</v>
      </c>
      <c r="E206" s="43">
        <v>611021</v>
      </c>
      <c r="F206" s="40">
        <v>2210</v>
      </c>
      <c r="G206" s="40">
        <v>1113</v>
      </c>
      <c r="H206" s="39" t="s">
        <v>368</v>
      </c>
      <c r="I206" s="39" t="s">
        <v>12</v>
      </c>
      <c r="J206" s="41">
        <v>1</v>
      </c>
      <c r="K206" s="42">
        <v>1850</v>
      </c>
      <c r="L206" s="42">
        <v>1850</v>
      </c>
      <c r="M206" s="42" t="s">
        <v>458</v>
      </c>
    </row>
    <row r="207" spans="1:13">
      <c r="A207" s="40">
        <v>2</v>
      </c>
      <c r="B207" s="39" t="s">
        <v>112</v>
      </c>
      <c r="C207" s="43" t="s">
        <v>115</v>
      </c>
      <c r="D207" s="43" t="s">
        <v>465</v>
      </c>
      <c r="E207" s="43">
        <v>611021</v>
      </c>
      <c r="F207" s="40">
        <v>2210</v>
      </c>
      <c r="G207" s="40">
        <v>1113</v>
      </c>
      <c r="H207" s="51" t="s">
        <v>58</v>
      </c>
      <c r="I207" s="51" t="s">
        <v>12</v>
      </c>
      <c r="J207" s="53">
        <v>1</v>
      </c>
      <c r="K207" s="52">
        <v>2499.21</v>
      </c>
      <c r="L207" s="52">
        <v>2499.21</v>
      </c>
      <c r="M207" s="42" t="s">
        <v>458</v>
      </c>
    </row>
    <row r="208" spans="1:13">
      <c r="A208" s="40">
        <v>3</v>
      </c>
      <c r="B208" s="39" t="s">
        <v>112</v>
      </c>
      <c r="C208" s="43" t="s">
        <v>115</v>
      </c>
      <c r="D208" s="43" t="s">
        <v>465</v>
      </c>
      <c r="E208" s="43">
        <v>611021</v>
      </c>
      <c r="F208" s="40">
        <v>2210</v>
      </c>
      <c r="G208" s="40">
        <v>1113</v>
      </c>
      <c r="H208" s="43" t="s">
        <v>369</v>
      </c>
      <c r="I208" s="51" t="s">
        <v>12</v>
      </c>
      <c r="J208" s="41">
        <v>3</v>
      </c>
      <c r="K208" s="42">
        <v>2860</v>
      </c>
      <c r="L208" s="42">
        <v>8580</v>
      </c>
      <c r="M208" s="42" t="s">
        <v>458</v>
      </c>
    </row>
    <row r="209" spans="1:14">
      <c r="A209" s="40">
        <v>4</v>
      </c>
      <c r="B209" s="39" t="s">
        <v>112</v>
      </c>
      <c r="C209" s="43" t="s">
        <v>115</v>
      </c>
      <c r="D209" s="43" t="s">
        <v>465</v>
      </c>
      <c r="E209" s="43">
        <v>611021</v>
      </c>
      <c r="F209" s="40">
        <v>2210</v>
      </c>
      <c r="G209" s="40">
        <v>1113</v>
      </c>
      <c r="H209" s="43" t="s">
        <v>370</v>
      </c>
      <c r="I209" s="51" t="s">
        <v>12</v>
      </c>
      <c r="J209" s="41">
        <v>2</v>
      </c>
      <c r="K209" s="42">
        <v>348.35</v>
      </c>
      <c r="L209" s="42">
        <v>696.7</v>
      </c>
      <c r="M209" s="42" t="s">
        <v>458</v>
      </c>
    </row>
    <row r="210" spans="1:14">
      <c r="A210" s="40">
        <v>5</v>
      </c>
      <c r="B210" s="39" t="s">
        <v>112</v>
      </c>
      <c r="C210" s="43" t="s">
        <v>115</v>
      </c>
      <c r="D210" s="43" t="s">
        <v>465</v>
      </c>
      <c r="E210" s="43">
        <v>611021</v>
      </c>
      <c r="F210" s="40">
        <v>2210</v>
      </c>
      <c r="G210" s="40">
        <v>1113</v>
      </c>
      <c r="H210" s="43" t="s">
        <v>91</v>
      </c>
      <c r="I210" s="51" t="s">
        <v>12</v>
      </c>
      <c r="J210" s="41">
        <v>1</v>
      </c>
      <c r="K210" s="42">
        <v>1083.3499999999999</v>
      </c>
      <c r="L210" s="42">
        <v>1083.3499999999999</v>
      </c>
      <c r="M210" s="42" t="s">
        <v>458</v>
      </c>
    </row>
    <row r="211" spans="1:14">
      <c r="A211" s="40">
        <v>6</v>
      </c>
      <c r="B211" s="39" t="s">
        <v>112</v>
      </c>
      <c r="C211" s="43" t="s">
        <v>115</v>
      </c>
      <c r="D211" s="43" t="s">
        <v>465</v>
      </c>
      <c r="E211" s="43">
        <v>611021</v>
      </c>
      <c r="F211" s="40">
        <v>2210</v>
      </c>
      <c r="G211" s="40">
        <v>1113</v>
      </c>
      <c r="H211" s="43" t="s">
        <v>133</v>
      </c>
      <c r="I211" s="51" t="s">
        <v>12</v>
      </c>
      <c r="J211" s="41">
        <v>1</v>
      </c>
      <c r="K211" s="42">
        <v>333.35</v>
      </c>
      <c r="L211" s="42">
        <v>333.35</v>
      </c>
      <c r="M211" s="42" t="s">
        <v>458</v>
      </c>
    </row>
    <row r="212" spans="1:14">
      <c r="A212" s="40">
        <v>7</v>
      </c>
      <c r="B212" s="39" t="s">
        <v>112</v>
      </c>
      <c r="C212" s="43" t="s">
        <v>115</v>
      </c>
      <c r="D212" s="43" t="s">
        <v>465</v>
      </c>
      <c r="E212" s="43">
        <v>611021</v>
      </c>
      <c r="F212" s="40">
        <v>2210</v>
      </c>
      <c r="G212" s="40">
        <v>1113</v>
      </c>
      <c r="H212" s="43" t="s">
        <v>59</v>
      </c>
      <c r="I212" s="51" t="s">
        <v>12</v>
      </c>
      <c r="J212" s="41">
        <v>1</v>
      </c>
      <c r="K212" s="42">
        <v>1221.6500000000001</v>
      </c>
      <c r="L212" s="42">
        <v>1221.6500000000001</v>
      </c>
      <c r="M212" s="42" t="s">
        <v>458</v>
      </c>
    </row>
    <row r="213" spans="1:14">
      <c r="A213" s="40">
        <v>8</v>
      </c>
      <c r="B213" s="39" t="s">
        <v>112</v>
      </c>
      <c r="C213" s="43" t="s">
        <v>115</v>
      </c>
      <c r="D213" s="43" t="s">
        <v>465</v>
      </c>
      <c r="E213" s="43">
        <v>611021</v>
      </c>
      <c r="F213" s="40">
        <v>2210</v>
      </c>
      <c r="G213" s="40">
        <v>1114</v>
      </c>
      <c r="H213" s="43" t="s">
        <v>179</v>
      </c>
      <c r="I213" s="51" t="s">
        <v>12</v>
      </c>
      <c r="J213" s="41">
        <v>5</v>
      </c>
      <c r="K213" s="42">
        <v>123</v>
      </c>
      <c r="L213" s="42">
        <v>615</v>
      </c>
      <c r="M213" s="42" t="s">
        <v>458</v>
      </c>
    </row>
    <row r="214" spans="1:14">
      <c r="A214" s="40">
        <v>9</v>
      </c>
      <c r="B214" s="39" t="s">
        <v>112</v>
      </c>
      <c r="C214" s="43" t="s">
        <v>115</v>
      </c>
      <c r="D214" s="43" t="s">
        <v>465</v>
      </c>
      <c r="E214" s="43">
        <v>611021</v>
      </c>
      <c r="F214" s="40">
        <v>2210</v>
      </c>
      <c r="G214" s="40">
        <v>1114</v>
      </c>
      <c r="H214" s="43" t="s">
        <v>200</v>
      </c>
      <c r="I214" s="51" t="s">
        <v>12</v>
      </c>
      <c r="J214" s="41">
        <v>5</v>
      </c>
      <c r="K214" s="42">
        <v>420</v>
      </c>
      <c r="L214" s="42">
        <v>2100</v>
      </c>
      <c r="M214" s="42" t="s">
        <v>458</v>
      </c>
    </row>
    <row r="215" spans="1:14">
      <c r="A215" s="40">
        <v>10</v>
      </c>
      <c r="B215" s="39" t="s">
        <v>112</v>
      </c>
      <c r="C215" s="43" t="s">
        <v>115</v>
      </c>
      <c r="D215" s="43" t="s">
        <v>465</v>
      </c>
      <c r="E215" s="43">
        <v>611021</v>
      </c>
      <c r="F215" s="40">
        <v>2210</v>
      </c>
      <c r="G215" s="40">
        <v>1114</v>
      </c>
      <c r="H215" s="43" t="s">
        <v>25</v>
      </c>
      <c r="I215" s="51" t="s">
        <v>12</v>
      </c>
      <c r="J215" s="41">
        <v>5</v>
      </c>
      <c r="K215" s="42">
        <v>195</v>
      </c>
      <c r="L215" s="42">
        <v>975</v>
      </c>
      <c r="M215" s="42" t="s">
        <v>458</v>
      </c>
    </row>
    <row r="216" spans="1:14">
      <c r="A216" s="40">
        <v>11</v>
      </c>
      <c r="B216" s="39" t="s">
        <v>112</v>
      </c>
      <c r="C216" s="43" t="s">
        <v>115</v>
      </c>
      <c r="D216" s="43" t="s">
        <v>465</v>
      </c>
      <c r="E216" s="43">
        <v>613242</v>
      </c>
      <c r="F216" s="40">
        <v>2210</v>
      </c>
      <c r="G216" s="40" t="s">
        <v>134</v>
      </c>
      <c r="H216" s="43" t="s">
        <v>371</v>
      </c>
      <c r="I216" s="51" t="s">
        <v>21</v>
      </c>
      <c r="J216" s="41">
        <v>28</v>
      </c>
      <c r="K216" s="42">
        <v>37.5</v>
      </c>
      <c r="L216" s="42">
        <v>1050</v>
      </c>
      <c r="M216" s="42" t="s">
        <v>458</v>
      </c>
    </row>
    <row r="217" spans="1:14">
      <c r="A217" s="40">
        <v>12</v>
      </c>
      <c r="B217" s="39" t="s">
        <v>112</v>
      </c>
      <c r="C217" s="43" t="s">
        <v>115</v>
      </c>
      <c r="D217" s="43" t="s">
        <v>465</v>
      </c>
      <c r="E217" s="43">
        <v>613242</v>
      </c>
      <c r="F217" s="40">
        <v>2210</v>
      </c>
      <c r="G217" s="40" t="s">
        <v>134</v>
      </c>
      <c r="H217" s="43" t="s">
        <v>372</v>
      </c>
      <c r="I217" s="51" t="s">
        <v>12</v>
      </c>
      <c r="J217" s="41">
        <v>7</v>
      </c>
      <c r="K217" s="42">
        <v>75</v>
      </c>
      <c r="L217" s="42">
        <v>525</v>
      </c>
      <c r="M217" s="42" t="s">
        <v>458</v>
      </c>
    </row>
    <row r="218" spans="1:14">
      <c r="A218" s="40">
        <v>13</v>
      </c>
      <c r="B218" s="39" t="s">
        <v>112</v>
      </c>
      <c r="C218" s="43" t="s">
        <v>466</v>
      </c>
      <c r="D218" s="92" t="s">
        <v>43</v>
      </c>
      <c r="E218" s="43">
        <v>613242</v>
      </c>
      <c r="F218" s="40">
        <v>2210</v>
      </c>
      <c r="G218" s="40" t="s">
        <v>134</v>
      </c>
      <c r="H218" s="39" t="s">
        <v>388</v>
      </c>
      <c r="I218" s="39" t="s">
        <v>12</v>
      </c>
      <c r="J218" s="41">
        <v>5</v>
      </c>
      <c r="K218" s="42">
        <v>20</v>
      </c>
      <c r="L218" s="42">
        <v>100</v>
      </c>
      <c r="M218" s="42" t="s">
        <v>458</v>
      </c>
    </row>
    <row r="219" spans="1:14">
      <c r="A219" s="40">
        <v>14</v>
      </c>
      <c r="B219" s="39" t="s">
        <v>112</v>
      </c>
      <c r="C219" s="43" t="s">
        <v>466</v>
      </c>
      <c r="D219" s="92" t="s">
        <v>43</v>
      </c>
      <c r="E219" s="43">
        <v>613242</v>
      </c>
      <c r="F219" s="40">
        <v>2230</v>
      </c>
      <c r="G219" s="40" t="s">
        <v>125</v>
      </c>
      <c r="H219" s="39" t="s">
        <v>322</v>
      </c>
      <c r="I219" s="39" t="s">
        <v>12</v>
      </c>
      <c r="J219" s="41">
        <v>6</v>
      </c>
      <c r="K219" s="42">
        <v>45</v>
      </c>
      <c r="L219" s="42">
        <v>270</v>
      </c>
      <c r="M219" s="42" t="s">
        <v>458</v>
      </c>
    </row>
    <row r="220" spans="1:14">
      <c r="A220" s="45"/>
      <c r="B220" s="46"/>
      <c r="C220" s="47"/>
      <c r="D220" s="47"/>
      <c r="E220" s="47"/>
      <c r="F220" s="45"/>
      <c r="G220" s="45"/>
      <c r="H220" s="46" t="s">
        <v>14</v>
      </c>
      <c r="I220" s="46"/>
      <c r="J220" s="48"/>
      <c r="K220" s="49"/>
      <c r="L220" s="49">
        <f>SUM(L206:L219)</f>
        <v>21899.260000000002</v>
      </c>
      <c r="M220" s="46">
        <f>SUM(M206:M219)</f>
        <v>0</v>
      </c>
    </row>
    <row r="221" spans="1:14">
      <c r="A221" s="50"/>
      <c r="B221" s="51" t="s">
        <v>54</v>
      </c>
      <c r="C221" s="43" t="s">
        <v>115</v>
      </c>
      <c r="D221" s="43" t="s">
        <v>462</v>
      </c>
      <c r="E221" s="43">
        <v>611021</v>
      </c>
      <c r="F221" s="40">
        <v>3110</v>
      </c>
      <c r="G221" s="40">
        <v>1014</v>
      </c>
      <c r="H221" s="39" t="s">
        <v>460</v>
      </c>
      <c r="I221" s="39" t="s">
        <v>12</v>
      </c>
      <c r="J221" s="41">
        <v>1</v>
      </c>
      <c r="K221" s="42">
        <v>50998.33</v>
      </c>
      <c r="L221" s="42">
        <f>J221*K221</f>
        <v>50998.33</v>
      </c>
      <c r="M221" s="42" t="s">
        <v>458</v>
      </c>
    </row>
    <row r="222" spans="1:14">
      <c r="A222" s="50"/>
      <c r="B222" s="51"/>
      <c r="C222" s="43" t="s">
        <v>115</v>
      </c>
      <c r="D222" s="43" t="s">
        <v>461</v>
      </c>
      <c r="E222" s="43">
        <v>617520</v>
      </c>
      <c r="F222" s="40">
        <v>2210</v>
      </c>
      <c r="G222" s="40">
        <v>1113</v>
      </c>
      <c r="H222" s="39" t="s">
        <v>463</v>
      </c>
      <c r="I222" s="39" t="s">
        <v>12</v>
      </c>
      <c r="J222" s="41">
        <v>1</v>
      </c>
      <c r="K222" s="42">
        <v>6808</v>
      </c>
      <c r="L222" s="42">
        <v>6808</v>
      </c>
      <c r="M222" s="42" t="s">
        <v>458</v>
      </c>
    </row>
    <row r="223" spans="1:14">
      <c r="A223" s="50"/>
      <c r="B223" s="51"/>
      <c r="C223" s="43" t="s">
        <v>115</v>
      </c>
      <c r="D223" s="43" t="s">
        <v>461</v>
      </c>
      <c r="E223" s="43">
        <v>617520</v>
      </c>
      <c r="F223" s="40">
        <v>2210</v>
      </c>
      <c r="G223" s="40">
        <v>1113</v>
      </c>
      <c r="H223" s="39" t="s">
        <v>464</v>
      </c>
      <c r="I223" s="39" t="s">
        <v>12</v>
      </c>
      <c r="J223" s="41">
        <v>1</v>
      </c>
      <c r="K223" s="42">
        <v>9607.0499999999993</v>
      </c>
      <c r="L223" s="42">
        <v>9607.0499999999993</v>
      </c>
      <c r="M223" s="42" t="s">
        <v>458</v>
      </c>
    </row>
    <row r="224" spans="1:14">
      <c r="A224" s="45"/>
      <c r="B224" s="46"/>
      <c r="C224" s="47"/>
      <c r="D224" s="47"/>
      <c r="E224" s="47"/>
      <c r="F224" s="45"/>
      <c r="G224" s="45"/>
      <c r="H224" s="46" t="s">
        <v>14</v>
      </c>
      <c r="I224" s="46"/>
      <c r="J224" s="48"/>
      <c r="K224" s="49"/>
      <c r="L224" s="49">
        <f>SUM(L221:L223)</f>
        <v>67413.38</v>
      </c>
      <c r="M224" s="46"/>
      <c r="N224" s="44"/>
    </row>
    <row r="225" spans="1:14">
      <c r="A225" s="180" t="s">
        <v>475</v>
      </c>
      <c r="B225" s="181"/>
      <c r="C225" s="58"/>
      <c r="D225" s="58"/>
      <c r="E225" s="58"/>
      <c r="F225" s="59"/>
      <c r="G225" s="59"/>
      <c r="H225" s="58"/>
      <c r="I225" s="58"/>
      <c r="J225" s="60"/>
      <c r="K225" s="61"/>
      <c r="L225" s="61">
        <f>L224+L220+L205+L201+L187+L185+L182+L180+L129+L127+L122+L118+L116+L112+L108+L104+L101+L87+L83+L81+L78+L57+L55</f>
        <v>1881106.9500000009</v>
      </c>
      <c r="M225" s="58"/>
      <c r="N225" s="44"/>
    </row>
    <row r="226" spans="1:14">
      <c r="A226" s="50">
        <v>1</v>
      </c>
      <c r="B226" s="51" t="s">
        <v>113</v>
      </c>
      <c r="C226" s="43" t="s">
        <v>115</v>
      </c>
      <c r="D226" s="43" t="s">
        <v>462</v>
      </c>
      <c r="E226" s="43">
        <v>611025</v>
      </c>
      <c r="F226" s="40">
        <v>3110</v>
      </c>
      <c r="G226" s="40">
        <v>1014</v>
      </c>
      <c r="H226" s="39" t="s">
        <v>460</v>
      </c>
      <c r="I226" s="39" t="s">
        <v>12</v>
      </c>
      <c r="J226" s="41">
        <v>1</v>
      </c>
      <c r="K226" s="42">
        <v>50998.33</v>
      </c>
      <c r="L226" s="42">
        <f>J226*K226</f>
        <v>50998.33</v>
      </c>
      <c r="M226" s="42" t="s">
        <v>458</v>
      </c>
    </row>
    <row r="227" spans="1:14">
      <c r="A227" s="45"/>
      <c r="B227" s="46"/>
      <c r="C227" s="46"/>
      <c r="D227" s="46"/>
      <c r="E227" s="46"/>
      <c r="F227" s="45"/>
      <c r="G227" s="45"/>
      <c r="H227" s="46"/>
      <c r="I227" s="46"/>
      <c r="J227" s="48"/>
      <c r="K227" s="49"/>
      <c r="L227" s="61">
        <f>SUM(L226:L226)</f>
        <v>50998.33</v>
      </c>
      <c r="M227" s="46">
        <f>SUM(M226:M226)</f>
        <v>0</v>
      </c>
    </row>
    <row r="228" spans="1:14">
      <c r="A228" s="59"/>
      <c r="B228" s="58"/>
      <c r="C228" s="58" t="s">
        <v>307</v>
      </c>
      <c r="D228" s="58"/>
      <c r="E228" s="58"/>
      <c r="F228" s="59"/>
      <c r="G228" s="59"/>
      <c r="H228" s="58"/>
      <c r="I228" s="58"/>
      <c r="J228" s="60"/>
      <c r="K228" s="61"/>
      <c r="L228" s="63">
        <f>L227+L225</f>
        <v>1932105.280000001</v>
      </c>
      <c r="M228" s="58"/>
    </row>
    <row r="230" spans="1:14">
      <c r="B230" s="38" t="s">
        <v>77</v>
      </c>
    </row>
  </sheetData>
  <mergeCells count="2">
    <mergeCell ref="A1:M1"/>
    <mergeCell ref="A225:B225"/>
  </mergeCells>
  <pageMargins left="0.70866141732283472" right="0.70866141732283472" top="0.36" bottom="0.2" header="0.31496062992125984" footer="0.31496062992125984"/>
  <pageSetup paperSize="9" scale="63" orientation="landscape" verticalDpi="0" r:id="rId1"/>
  <rowBreaks count="4" manualBreakCount="4">
    <brk id="48" max="16" man="1"/>
    <brk id="101" max="16" man="1"/>
    <brk id="152" max="16" man="1"/>
    <brk id="205" max="16" man="1"/>
  </rowBreaks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M61"/>
  <sheetViews>
    <sheetView view="pageBreakPreview" topLeftCell="A31" zoomScaleSheetLayoutView="100" workbookViewId="0">
      <selection activeCell="E29" sqref="E29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23.42578125" style="38" customWidth="1"/>
    <col min="5" max="5" width="14.28515625" style="38" customWidth="1"/>
    <col min="6" max="6" width="12.28515625" style="62" customWidth="1"/>
    <col min="7" max="7" width="9.140625" style="62"/>
    <col min="8" max="8" width="37.140625" style="38" customWidth="1"/>
    <col min="9" max="9" width="11.85546875" style="38" customWidth="1"/>
    <col min="10" max="10" width="9.140625" style="64" customWidth="1"/>
    <col min="11" max="11" width="14.7109375" style="44" customWidth="1"/>
    <col min="12" max="12" width="16.42578125" style="44" customWidth="1"/>
    <col min="13" max="13" width="22.85546875" style="38" customWidth="1"/>
    <col min="14" max="14" width="20.7109375" style="38" customWidth="1"/>
    <col min="15" max="16384" width="9.140625" style="38"/>
  </cols>
  <sheetData>
    <row r="1" spans="1:13" ht="18.75">
      <c r="A1" s="179" t="s">
        <v>408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  <c r="M2" s="89" t="s">
        <v>67</v>
      </c>
    </row>
    <row r="3" spans="1:13">
      <c r="A3" s="40">
        <v>1</v>
      </c>
      <c r="B3" s="39" t="s">
        <v>476</v>
      </c>
      <c r="C3" s="43" t="s">
        <v>115</v>
      </c>
      <c r="D3" s="43" t="s">
        <v>462</v>
      </c>
      <c r="E3" s="43">
        <v>611021</v>
      </c>
      <c r="F3" s="40">
        <v>3110</v>
      </c>
      <c r="G3" s="40">
        <v>1014</v>
      </c>
      <c r="H3" s="39" t="s">
        <v>460</v>
      </c>
      <c r="I3" s="39" t="s">
        <v>12</v>
      </c>
      <c r="J3" s="41">
        <v>1</v>
      </c>
      <c r="K3" s="42">
        <v>50998.33</v>
      </c>
      <c r="L3" s="42">
        <f>J3*K3</f>
        <v>50998.33</v>
      </c>
      <c r="M3" s="42" t="s">
        <v>458</v>
      </c>
    </row>
    <row r="4" spans="1:13">
      <c r="A4" s="45"/>
      <c r="B4" s="46"/>
      <c r="C4" s="47"/>
      <c r="D4" s="47"/>
      <c r="E4" s="47"/>
      <c r="F4" s="45"/>
      <c r="G4" s="45"/>
      <c r="H4" s="46" t="s">
        <v>14</v>
      </c>
      <c r="I4" s="46"/>
      <c r="J4" s="48"/>
      <c r="K4" s="49"/>
      <c r="L4" s="49">
        <f>SUM(L3:L3)</f>
        <v>50998.33</v>
      </c>
      <c r="M4" s="49">
        <f>SUM(M3:M3)</f>
        <v>0</v>
      </c>
    </row>
    <row r="5" spans="1:13">
      <c r="A5" s="50">
        <v>1</v>
      </c>
      <c r="B5" s="51" t="s">
        <v>85</v>
      </c>
      <c r="C5" s="43" t="s">
        <v>115</v>
      </c>
      <c r="D5" s="43" t="s">
        <v>462</v>
      </c>
      <c r="E5" s="43">
        <v>611021</v>
      </c>
      <c r="F5" s="40">
        <v>3110</v>
      </c>
      <c r="G5" s="40">
        <v>1014</v>
      </c>
      <c r="H5" s="39" t="s">
        <v>460</v>
      </c>
      <c r="I5" s="39" t="s">
        <v>12</v>
      </c>
      <c r="J5" s="41">
        <v>1</v>
      </c>
      <c r="K5" s="42">
        <v>50998.33</v>
      </c>
      <c r="L5" s="42">
        <f>J5*K5</f>
        <v>50998.33</v>
      </c>
      <c r="M5" s="42" t="s">
        <v>458</v>
      </c>
    </row>
    <row r="6" spans="1:13">
      <c r="A6" s="45"/>
      <c r="B6" s="46"/>
      <c r="C6" s="47"/>
      <c r="D6" s="47"/>
      <c r="E6" s="47"/>
      <c r="F6" s="45"/>
      <c r="G6" s="45"/>
      <c r="H6" s="46" t="s">
        <v>14</v>
      </c>
      <c r="I6" s="46"/>
      <c r="J6" s="48"/>
      <c r="K6" s="49"/>
      <c r="L6" s="49">
        <f>SUM(L5)</f>
        <v>50998.33</v>
      </c>
      <c r="M6" s="46"/>
    </row>
    <row r="7" spans="1:13">
      <c r="A7" s="93"/>
      <c r="B7" s="94"/>
      <c r="C7" s="95" t="s">
        <v>477</v>
      </c>
      <c r="D7" s="95"/>
      <c r="E7" s="95"/>
      <c r="F7" s="93"/>
      <c r="G7" s="93"/>
      <c r="H7" s="94"/>
      <c r="I7" s="94"/>
      <c r="J7" s="96"/>
      <c r="K7" s="97"/>
      <c r="L7" s="97">
        <f>L6+L4</f>
        <v>101996.66</v>
      </c>
      <c r="M7" s="97"/>
    </row>
    <row r="8" spans="1:13" ht="44.25" customHeight="1">
      <c r="A8" s="40">
        <v>1</v>
      </c>
      <c r="B8" s="51" t="s">
        <v>490</v>
      </c>
      <c r="C8" s="43" t="s">
        <v>478</v>
      </c>
      <c r="D8" s="43" t="s">
        <v>479</v>
      </c>
      <c r="E8" s="43">
        <v>611070</v>
      </c>
      <c r="F8" s="40">
        <v>2210</v>
      </c>
      <c r="G8" s="40">
        <v>1113</v>
      </c>
      <c r="H8" s="39" t="s">
        <v>480</v>
      </c>
      <c r="I8" s="39" t="s">
        <v>12</v>
      </c>
      <c r="J8" s="41">
        <v>1</v>
      </c>
      <c r="K8" s="42">
        <v>6999</v>
      </c>
      <c r="L8" s="42">
        <v>6999</v>
      </c>
      <c r="M8" s="42" t="s">
        <v>481</v>
      </c>
    </row>
    <row r="9" spans="1:13" ht="53.25" customHeight="1">
      <c r="A9" s="40">
        <v>2</v>
      </c>
      <c r="B9" s="51" t="s">
        <v>490</v>
      </c>
      <c r="C9" s="43" t="s">
        <v>478</v>
      </c>
      <c r="D9" s="43" t="s">
        <v>479</v>
      </c>
      <c r="E9" s="43">
        <v>611070</v>
      </c>
      <c r="F9" s="40">
        <v>2210</v>
      </c>
      <c r="G9" s="40">
        <v>1113</v>
      </c>
      <c r="H9" s="39" t="s">
        <v>482</v>
      </c>
      <c r="I9" s="39" t="s">
        <v>12</v>
      </c>
      <c r="J9" s="41">
        <v>1</v>
      </c>
      <c r="K9" s="42">
        <v>7699</v>
      </c>
      <c r="L9" s="42">
        <v>7699</v>
      </c>
      <c r="M9" s="42" t="s">
        <v>481</v>
      </c>
    </row>
    <row r="10" spans="1:13" ht="45">
      <c r="A10" s="40">
        <v>3</v>
      </c>
      <c r="B10" s="51" t="s">
        <v>490</v>
      </c>
      <c r="C10" s="43" t="s">
        <v>478</v>
      </c>
      <c r="D10" s="43" t="s">
        <v>479</v>
      </c>
      <c r="E10" s="43">
        <v>611070</v>
      </c>
      <c r="F10" s="40">
        <v>2210</v>
      </c>
      <c r="G10" s="40">
        <v>1113</v>
      </c>
      <c r="H10" s="51" t="s">
        <v>483</v>
      </c>
      <c r="I10" s="51" t="s">
        <v>12</v>
      </c>
      <c r="J10" s="53">
        <v>1</v>
      </c>
      <c r="K10" s="52">
        <v>17890</v>
      </c>
      <c r="L10" s="52">
        <v>17890</v>
      </c>
      <c r="M10" s="42" t="s">
        <v>481</v>
      </c>
    </row>
    <row r="11" spans="1:13" ht="45">
      <c r="A11" s="40">
        <v>4</v>
      </c>
      <c r="B11" s="51" t="s">
        <v>490</v>
      </c>
      <c r="C11" s="43" t="s">
        <v>478</v>
      </c>
      <c r="D11" s="43" t="s">
        <v>479</v>
      </c>
      <c r="E11" s="43">
        <v>611070</v>
      </c>
      <c r="F11" s="40">
        <v>2210</v>
      </c>
      <c r="G11" s="40">
        <v>1113</v>
      </c>
      <c r="H11" s="43" t="s">
        <v>484</v>
      </c>
      <c r="I11" s="51" t="s">
        <v>12</v>
      </c>
      <c r="J11" s="41">
        <v>1</v>
      </c>
      <c r="K11" s="42">
        <v>2319</v>
      </c>
      <c r="L11" s="42">
        <v>2319</v>
      </c>
      <c r="M11" s="42" t="s">
        <v>481</v>
      </c>
    </row>
    <row r="12" spans="1:13" ht="45">
      <c r="A12" s="40">
        <v>5</v>
      </c>
      <c r="B12" s="51" t="s">
        <v>490</v>
      </c>
      <c r="C12" s="43" t="s">
        <v>478</v>
      </c>
      <c r="D12" s="43" t="s">
        <v>479</v>
      </c>
      <c r="E12" s="43">
        <v>611070</v>
      </c>
      <c r="F12" s="40">
        <v>2210</v>
      </c>
      <c r="G12" s="40">
        <v>1113</v>
      </c>
      <c r="H12" s="43" t="s">
        <v>485</v>
      </c>
      <c r="I12" s="51" t="s">
        <v>12</v>
      </c>
      <c r="J12" s="41">
        <v>4</v>
      </c>
      <c r="K12" s="42">
        <v>3125</v>
      </c>
      <c r="L12" s="42">
        <v>12500</v>
      </c>
      <c r="M12" s="42" t="s">
        <v>481</v>
      </c>
    </row>
    <row r="13" spans="1:13" ht="45">
      <c r="A13" s="40">
        <v>6</v>
      </c>
      <c r="B13" s="51" t="s">
        <v>490</v>
      </c>
      <c r="C13" s="43" t="s">
        <v>478</v>
      </c>
      <c r="D13" s="43" t="s">
        <v>479</v>
      </c>
      <c r="E13" s="43">
        <v>611070</v>
      </c>
      <c r="F13" s="40">
        <v>2210</v>
      </c>
      <c r="G13" s="40">
        <v>1113</v>
      </c>
      <c r="H13" s="43" t="s">
        <v>707</v>
      </c>
      <c r="I13" s="51" t="s">
        <v>12</v>
      </c>
      <c r="J13" s="41">
        <v>5</v>
      </c>
      <c r="K13" s="42">
        <v>1049</v>
      </c>
      <c r="L13" s="42">
        <v>5245</v>
      </c>
      <c r="M13" s="42" t="s">
        <v>481</v>
      </c>
    </row>
    <row r="14" spans="1:13" ht="45">
      <c r="A14" s="40">
        <v>7</v>
      </c>
      <c r="B14" s="51" t="s">
        <v>490</v>
      </c>
      <c r="C14" s="43" t="s">
        <v>478</v>
      </c>
      <c r="D14" s="43" t="s">
        <v>479</v>
      </c>
      <c r="E14" s="43">
        <v>611070</v>
      </c>
      <c r="F14" s="40">
        <v>2210</v>
      </c>
      <c r="G14" s="40">
        <v>1113</v>
      </c>
      <c r="H14" s="43" t="s">
        <v>487</v>
      </c>
      <c r="I14" s="51" t="s">
        <v>12</v>
      </c>
      <c r="J14" s="41">
        <v>4</v>
      </c>
      <c r="K14" s="42">
        <v>1499</v>
      </c>
      <c r="L14" s="42">
        <v>5996</v>
      </c>
      <c r="M14" s="42" t="s">
        <v>481</v>
      </c>
    </row>
    <row r="15" spans="1:13" ht="45">
      <c r="A15" s="40">
        <v>8</v>
      </c>
      <c r="B15" s="51" t="s">
        <v>490</v>
      </c>
      <c r="C15" s="43" t="s">
        <v>478</v>
      </c>
      <c r="D15" s="43" t="s">
        <v>479</v>
      </c>
      <c r="E15" s="43">
        <v>611070</v>
      </c>
      <c r="F15" s="40">
        <v>2210</v>
      </c>
      <c r="G15" s="40">
        <v>1113</v>
      </c>
      <c r="H15" s="43" t="s">
        <v>488</v>
      </c>
      <c r="I15" s="51" t="s">
        <v>12</v>
      </c>
      <c r="J15" s="41">
        <v>2</v>
      </c>
      <c r="K15" s="42">
        <v>779</v>
      </c>
      <c r="L15" s="42">
        <v>1558</v>
      </c>
      <c r="M15" s="42" t="s">
        <v>481</v>
      </c>
    </row>
    <row r="16" spans="1:13" ht="45">
      <c r="A16" s="40">
        <v>9</v>
      </c>
      <c r="B16" s="51" t="s">
        <v>490</v>
      </c>
      <c r="C16" s="43" t="s">
        <v>478</v>
      </c>
      <c r="D16" s="43" t="s">
        <v>479</v>
      </c>
      <c r="E16" s="43">
        <v>611070</v>
      </c>
      <c r="F16" s="40">
        <v>2210</v>
      </c>
      <c r="G16" s="40" t="s">
        <v>11</v>
      </c>
      <c r="H16" s="43" t="s">
        <v>489</v>
      </c>
      <c r="I16" s="51" t="s">
        <v>12</v>
      </c>
      <c r="J16" s="41">
        <v>25</v>
      </c>
      <c r="K16" s="42">
        <v>144</v>
      </c>
      <c r="L16" s="42">
        <v>3600</v>
      </c>
      <c r="M16" s="42" t="s">
        <v>481</v>
      </c>
    </row>
    <row r="17" spans="1:13">
      <c r="A17" s="45"/>
      <c r="B17" s="46"/>
      <c r="C17" s="47"/>
      <c r="D17" s="47"/>
      <c r="E17" s="47"/>
      <c r="F17" s="45"/>
      <c r="G17" s="45"/>
      <c r="H17" s="46" t="s">
        <v>14</v>
      </c>
      <c r="I17" s="46"/>
      <c r="J17" s="48"/>
      <c r="K17" s="49"/>
      <c r="L17" s="49">
        <f>SUM(L8:L16)</f>
        <v>63806</v>
      </c>
      <c r="M17" s="49">
        <f>SUM(M7:M16)</f>
        <v>0</v>
      </c>
    </row>
    <row r="18" spans="1:13" ht="45">
      <c r="A18" s="45">
        <v>1</v>
      </c>
      <c r="B18" s="51" t="s">
        <v>492</v>
      </c>
      <c r="C18" s="43" t="s">
        <v>478</v>
      </c>
      <c r="D18" s="43" t="s">
        <v>479</v>
      </c>
      <c r="E18" s="43">
        <v>611070</v>
      </c>
      <c r="F18" s="40">
        <v>2210</v>
      </c>
      <c r="G18" s="40">
        <v>1113</v>
      </c>
      <c r="H18" s="39" t="s">
        <v>480</v>
      </c>
      <c r="I18" s="39" t="s">
        <v>12</v>
      </c>
      <c r="J18" s="41">
        <v>1</v>
      </c>
      <c r="K18" s="42">
        <v>15000</v>
      </c>
      <c r="L18" s="42">
        <v>15000</v>
      </c>
      <c r="M18" s="42" t="s">
        <v>481</v>
      </c>
    </row>
    <row r="19" spans="1:13" ht="45">
      <c r="A19" s="45">
        <v>2</v>
      </c>
      <c r="B19" s="51" t="s">
        <v>492</v>
      </c>
      <c r="C19" s="43" t="s">
        <v>478</v>
      </c>
      <c r="D19" s="43" t="s">
        <v>479</v>
      </c>
      <c r="E19" s="43">
        <v>611070</v>
      </c>
      <c r="F19" s="40">
        <v>2210</v>
      </c>
      <c r="G19" s="40">
        <v>1113</v>
      </c>
      <c r="H19" s="39" t="s">
        <v>482</v>
      </c>
      <c r="I19" s="39" t="s">
        <v>12</v>
      </c>
      <c r="J19" s="41">
        <v>1</v>
      </c>
      <c r="K19" s="42">
        <v>11650</v>
      </c>
      <c r="L19" s="42">
        <v>11650</v>
      </c>
      <c r="M19" s="42" t="s">
        <v>481</v>
      </c>
    </row>
    <row r="20" spans="1:13" ht="45">
      <c r="A20" s="45">
        <v>3</v>
      </c>
      <c r="B20" s="51" t="s">
        <v>492</v>
      </c>
      <c r="C20" s="43" t="s">
        <v>478</v>
      </c>
      <c r="D20" s="43" t="s">
        <v>479</v>
      </c>
      <c r="E20" s="43">
        <v>611070</v>
      </c>
      <c r="F20" s="40">
        <v>2210</v>
      </c>
      <c r="G20" s="40">
        <v>1113</v>
      </c>
      <c r="H20" s="51" t="s">
        <v>483</v>
      </c>
      <c r="I20" s="51" t="s">
        <v>12</v>
      </c>
      <c r="J20" s="53">
        <v>1</v>
      </c>
      <c r="K20" s="52">
        <v>26950</v>
      </c>
      <c r="L20" s="52">
        <v>26950</v>
      </c>
      <c r="M20" s="42" t="s">
        <v>481</v>
      </c>
    </row>
    <row r="21" spans="1:13" ht="45">
      <c r="A21" s="45">
        <v>4</v>
      </c>
      <c r="B21" s="51" t="s">
        <v>492</v>
      </c>
      <c r="C21" s="43" t="s">
        <v>478</v>
      </c>
      <c r="D21" s="43" t="s">
        <v>479</v>
      </c>
      <c r="E21" s="43">
        <v>611070</v>
      </c>
      <c r="F21" s="40">
        <v>2210</v>
      </c>
      <c r="G21" s="40">
        <v>1113</v>
      </c>
      <c r="H21" s="43" t="s">
        <v>484</v>
      </c>
      <c r="I21" s="51" t="s">
        <v>12</v>
      </c>
      <c r="J21" s="41">
        <v>1</v>
      </c>
      <c r="K21" s="42">
        <v>2250</v>
      </c>
      <c r="L21" s="42">
        <v>2250</v>
      </c>
      <c r="M21" s="42" t="s">
        <v>481</v>
      </c>
    </row>
    <row r="22" spans="1:13" ht="45">
      <c r="A22" s="45">
        <v>5</v>
      </c>
      <c r="B22" s="51" t="s">
        <v>492</v>
      </c>
      <c r="C22" s="43" t="s">
        <v>478</v>
      </c>
      <c r="D22" s="43" t="s">
        <v>479</v>
      </c>
      <c r="E22" s="43">
        <v>611070</v>
      </c>
      <c r="F22" s="40">
        <v>2210</v>
      </c>
      <c r="G22" s="40">
        <v>1113</v>
      </c>
      <c r="H22" s="43" t="s">
        <v>485</v>
      </c>
      <c r="I22" s="51" t="s">
        <v>12</v>
      </c>
      <c r="J22" s="41">
        <v>4</v>
      </c>
      <c r="K22" s="42">
        <v>2787.5</v>
      </c>
      <c r="L22" s="42">
        <v>11150</v>
      </c>
      <c r="M22" s="42" t="s">
        <v>481</v>
      </c>
    </row>
    <row r="23" spans="1:13" ht="45">
      <c r="A23" s="45">
        <v>6</v>
      </c>
      <c r="B23" s="51" t="s">
        <v>492</v>
      </c>
      <c r="C23" s="43" t="s">
        <v>478</v>
      </c>
      <c r="D23" s="43" t="s">
        <v>479</v>
      </c>
      <c r="E23" s="43">
        <v>611070</v>
      </c>
      <c r="F23" s="40">
        <v>2210</v>
      </c>
      <c r="G23" s="40">
        <v>1113</v>
      </c>
      <c r="H23" s="43" t="s">
        <v>486</v>
      </c>
      <c r="I23" s="51" t="s">
        <v>12</v>
      </c>
      <c r="J23" s="41">
        <v>5</v>
      </c>
      <c r="K23" s="42">
        <v>1980</v>
      </c>
      <c r="L23" s="42">
        <v>9900</v>
      </c>
      <c r="M23" s="42" t="s">
        <v>481</v>
      </c>
    </row>
    <row r="24" spans="1:13" ht="45">
      <c r="A24" s="45">
        <v>7</v>
      </c>
      <c r="B24" s="51" t="s">
        <v>492</v>
      </c>
      <c r="C24" s="43" t="s">
        <v>478</v>
      </c>
      <c r="D24" s="43" t="s">
        <v>479</v>
      </c>
      <c r="E24" s="43">
        <v>611070</v>
      </c>
      <c r="F24" s="40">
        <v>2210</v>
      </c>
      <c r="G24" s="40">
        <v>1113</v>
      </c>
      <c r="H24" s="43" t="s">
        <v>487</v>
      </c>
      <c r="I24" s="51" t="s">
        <v>12</v>
      </c>
      <c r="J24" s="41">
        <v>4</v>
      </c>
      <c r="K24" s="42">
        <v>1950</v>
      </c>
      <c r="L24" s="42">
        <v>7800</v>
      </c>
      <c r="M24" s="42" t="s">
        <v>481</v>
      </c>
    </row>
    <row r="25" spans="1:13" ht="45">
      <c r="A25" s="45">
        <v>8</v>
      </c>
      <c r="B25" s="51" t="s">
        <v>492</v>
      </c>
      <c r="C25" s="43" t="s">
        <v>478</v>
      </c>
      <c r="D25" s="43" t="s">
        <v>479</v>
      </c>
      <c r="E25" s="43">
        <v>611070</v>
      </c>
      <c r="F25" s="40">
        <v>2210</v>
      </c>
      <c r="G25" s="40">
        <v>1113</v>
      </c>
      <c r="H25" s="43" t="s">
        <v>488</v>
      </c>
      <c r="I25" s="51" t="s">
        <v>12</v>
      </c>
      <c r="J25" s="41">
        <v>2</v>
      </c>
      <c r="K25" s="42">
        <v>525</v>
      </c>
      <c r="L25" s="42">
        <v>1050</v>
      </c>
      <c r="M25" s="42" t="s">
        <v>481</v>
      </c>
    </row>
    <row r="26" spans="1:13" ht="45">
      <c r="A26" s="45">
        <v>9</v>
      </c>
      <c r="B26" s="51" t="s">
        <v>492</v>
      </c>
      <c r="C26" s="43" t="s">
        <v>478</v>
      </c>
      <c r="D26" s="43" t="s">
        <v>479</v>
      </c>
      <c r="E26" s="43">
        <v>611070</v>
      </c>
      <c r="F26" s="40">
        <v>2210</v>
      </c>
      <c r="G26" s="40" t="s">
        <v>11</v>
      </c>
      <c r="H26" s="43" t="s">
        <v>489</v>
      </c>
      <c r="I26" s="51" t="s">
        <v>12</v>
      </c>
      <c r="J26" s="41">
        <v>25</v>
      </c>
      <c r="K26" s="42">
        <v>132</v>
      </c>
      <c r="L26" s="42">
        <v>3300</v>
      </c>
      <c r="M26" s="42" t="s">
        <v>481</v>
      </c>
    </row>
    <row r="27" spans="1:13">
      <c r="A27" s="45"/>
      <c r="B27" s="46"/>
      <c r="C27" s="47"/>
      <c r="D27" s="47"/>
      <c r="E27" s="47"/>
      <c r="F27" s="45"/>
      <c r="G27" s="45"/>
      <c r="H27" s="46"/>
      <c r="I27" s="46"/>
      <c r="J27" s="48"/>
      <c r="K27" s="49"/>
      <c r="L27" s="49">
        <f>SUM(L18:L26)</f>
        <v>89050</v>
      </c>
      <c r="M27" s="49"/>
    </row>
    <row r="28" spans="1:13">
      <c r="A28" s="98"/>
      <c r="B28" s="99"/>
      <c r="C28" s="100" t="s">
        <v>491</v>
      </c>
      <c r="D28" s="100"/>
      <c r="E28" s="100"/>
      <c r="F28" s="98"/>
      <c r="G28" s="98"/>
      <c r="H28" s="99"/>
      <c r="I28" s="99"/>
      <c r="J28" s="101"/>
      <c r="K28" s="102"/>
      <c r="L28" s="102">
        <f>L27+L17</f>
        <v>152856</v>
      </c>
      <c r="M28" s="102"/>
    </row>
    <row r="29" spans="1:13">
      <c r="A29" s="40">
        <v>1</v>
      </c>
      <c r="B29" s="39" t="s">
        <v>493</v>
      </c>
      <c r="C29" s="43" t="s">
        <v>115</v>
      </c>
      <c r="D29" s="43" t="s">
        <v>462</v>
      </c>
      <c r="E29" s="43">
        <v>611021</v>
      </c>
      <c r="F29" s="40">
        <v>3110</v>
      </c>
      <c r="G29" s="40">
        <v>1014</v>
      </c>
      <c r="H29" s="39" t="s">
        <v>460</v>
      </c>
      <c r="I29" s="39" t="s">
        <v>12</v>
      </c>
      <c r="J29" s="41">
        <v>1</v>
      </c>
      <c r="K29" s="42">
        <v>50998.33</v>
      </c>
      <c r="L29" s="42">
        <f>J29*K29</f>
        <v>50998.33</v>
      </c>
      <c r="M29" s="42" t="s">
        <v>458</v>
      </c>
    </row>
    <row r="30" spans="1:13">
      <c r="A30" s="45"/>
      <c r="B30" s="46"/>
      <c r="C30" s="47"/>
      <c r="D30" s="47"/>
      <c r="E30" s="47"/>
      <c r="F30" s="45"/>
      <c r="G30" s="45"/>
      <c r="H30" s="46" t="s">
        <v>14</v>
      </c>
      <c r="I30" s="46"/>
      <c r="J30" s="48"/>
      <c r="K30" s="49"/>
      <c r="L30" s="49">
        <f>SUM(L29:L29)</f>
        <v>50998.33</v>
      </c>
      <c r="M30" s="46"/>
    </row>
    <row r="31" spans="1:13">
      <c r="A31" s="50">
        <v>1</v>
      </c>
      <c r="B31" s="51" t="s">
        <v>345</v>
      </c>
      <c r="C31" s="43" t="s">
        <v>115</v>
      </c>
      <c r="D31" s="43" t="s">
        <v>462</v>
      </c>
      <c r="E31" s="43">
        <v>611021</v>
      </c>
      <c r="F31" s="40">
        <v>3110</v>
      </c>
      <c r="G31" s="40">
        <v>1014</v>
      </c>
      <c r="H31" s="39" t="s">
        <v>460</v>
      </c>
      <c r="I31" s="39" t="s">
        <v>12</v>
      </c>
      <c r="J31" s="41">
        <v>1</v>
      </c>
      <c r="K31" s="42">
        <v>50998.33</v>
      </c>
      <c r="L31" s="42">
        <f>J31*K31</f>
        <v>50998.33</v>
      </c>
      <c r="M31" s="42" t="s">
        <v>458</v>
      </c>
    </row>
    <row r="32" spans="1:13">
      <c r="A32" s="45"/>
      <c r="B32" s="46"/>
      <c r="C32" s="47"/>
      <c r="D32" s="47"/>
      <c r="E32" s="47"/>
      <c r="F32" s="45"/>
      <c r="G32" s="45"/>
      <c r="H32" s="46" t="s">
        <v>14</v>
      </c>
      <c r="I32" s="46"/>
      <c r="J32" s="48"/>
      <c r="K32" s="49"/>
      <c r="L32" s="49">
        <f>SUM(L31)</f>
        <v>50998.33</v>
      </c>
      <c r="M32" s="46"/>
    </row>
    <row r="33" spans="1:13">
      <c r="A33" s="50">
        <v>1</v>
      </c>
      <c r="B33" s="51" t="s">
        <v>494</v>
      </c>
      <c r="C33" s="43" t="s">
        <v>115</v>
      </c>
      <c r="D33" s="43" t="s">
        <v>462</v>
      </c>
      <c r="E33" s="43">
        <v>611021</v>
      </c>
      <c r="F33" s="40">
        <v>3110</v>
      </c>
      <c r="G33" s="40">
        <v>1014</v>
      </c>
      <c r="H33" s="39" t="s">
        <v>460</v>
      </c>
      <c r="I33" s="39" t="s">
        <v>12</v>
      </c>
      <c r="J33" s="41">
        <v>1</v>
      </c>
      <c r="K33" s="42">
        <v>50998.33</v>
      </c>
      <c r="L33" s="42">
        <f>J33*K33</f>
        <v>50998.33</v>
      </c>
      <c r="M33" s="42" t="s">
        <v>458</v>
      </c>
    </row>
    <row r="34" spans="1:13">
      <c r="A34" s="45"/>
      <c r="B34" s="46"/>
      <c r="C34" s="47"/>
      <c r="D34" s="47"/>
      <c r="E34" s="47"/>
      <c r="F34" s="45"/>
      <c r="G34" s="45"/>
      <c r="H34" s="46" t="s">
        <v>14</v>
      </c>
      <c r="I34" s="46"/>
      <c r="J34" s="48"/>
      <c r="K34" s="49"/>
      <c r="L34" s="49">
        <f>SUM(L33:L33)</f>
        <v>50998.33</v>
      </c>
      <c r="M34" s="46">
        <f>SUM(M33:M33)</f>
        <v>0</v>
      </c>
    </row>
    <row r="35" spans="1:13">
      <c r="A35" s="50">
        <v>1</v>
      </c>
      <c r="B35" s="51" t="s">
        <v>495</v>
      </c>
      <c r="C35" s="43" t="s">
        <v>115</v>
      </c>
      <c r="D35" s="43" t="s">
        <v>462</v>
      </c>
      <c r="E35" s="43">
        <v>611021</v>
      </c>
      <c r="F35" s="40">
        <v>3110</v>
      </c>
      <c r="G35" s="40">
        <v>1014</v>
      </c>
      <c r="H35" s="39" t="s">
        <v>460</v>
      </c>
      <c r="I35" s="39" t="s">
        <v>12</v>
      </c>
      <c r="J35" s="41">
        <v>1</v>
      </c>
      <c r="K35" s="42">
        <v>50998.33</v>
      </c>
      <c r="L35" s="42">
        <f>J35*K35</f>
        <v>50998.33</v>
      </c>
      <c r="M35" s="42" t="s">
        <v>458</v>
      </c>
    </row>
    <row r="36" spans="1:13">
      <c r="A36" s="45"/>
      <c r="B36" s="46"/>
      <c r="C36" s="47"/>
      <c r="D36" s="47"/>
      <c r="E36" s="47"/>
      <c r="F36" s="45"/>
      <c r="G36" s="45"/>
      <c r="H36" s="46" t="s">
        <v>14</v>
      </c>
      <c r="I36" s="46"/>
      <c r="J36" s="48"/>
      <c r="K36" s="49"/>
      <c r="L36" s="49">
        <f>SUM(L35:L35)</f>
        <v>50998.33</v>
      </c>
      <c r="M36" s="46">
        <f>SUM(M35:M35)</f>
        <v>0</v>
      </c>
    </row>
    <row r="37" spans="1:13">
      <c r="A37" s="40">
        <v>1</v>
      </c>
      <c r="B37" s="39" t="s">
        <v>496</v>
      </c>
      <c r="C37" s="43" t="s">
        <v>115</v>
      </c>
      <c r="D37" s="43" t="s">
        <v>462</v>
      </c>
      <c r="E37" s="43">
        <v>611021</v>
      </c>
      <c r="F37" s="40">
        <v>3110</v>
      </c>
      <c r="G37" s="40">
        <v>1014</v>
      </c>
      <c r="H37" s="39" t="s">
        <v>460</v>
      </c>
      <c r="I37" s="39" t="s">
        <v>12</v>
      </c>
      <c r="J37" s="41">
        <v>1</v>
      </c>
      <c r="K37" s="42">
        <v>50998.33</v>
      </c>
      <c r="L37" s="42">
        <f>J37*K37</f>
        <v>50998.33</v>
      </c>
      <c r="M37" s="42" t="s">
        <v>458</v>
      </c>
    </row>
    <row r="38" spans="1:13">
      <c r="A38" s="45"/>
      <c r="B38" s="46"/>
      <c r="C38" s="47"/>
      <c r="D38" s="47"/>
      <c r="E38" s="47"/>
      <c r="F38" s="45"/>
      <c r="G38" s="45"/>
      <c r="H38" s="46" t="s">
        <v>14</v>
      </c>
      <c r="I38" s="46"/>
      <c r="J38" s="48"/>
      <c r="K38" s="49"/>
      <c r="L38" s="49">
        <f>SUM(L37:L37)</f>
        <v>50998.33</v>
      </c>
      <c r="M38" s="46">
        <f>SUM(M37:M37)</f>
        <v>0</v>
      </c>
    </row>
    <row r="39" spans="1:13">
      <c r="A39" s="50">
        <v>1</v>
      </c>
      <c r="B39" s="51" t="s">
        <v>497</v>
      </c>
      <c r="C39" s="43" t="s">
        <v>115</v>
      </c>
      <c r="D39" s="43" t="s">
        <v>462</v>
      </c>
      <c r="E39" s="43">
        <v>611021</v>
      </c>
      <c r="F39" s="40">
        <v>3110</v>
      </c>
      <c r="G39" s="40">
        <v>1014</v>
      </c>
      <c r="H39" s="39" t="s">
        <v>460</v>
      </c>
      <c r="I39" s="39" t="s">
        <v>12</v>
      </c>
      <c r="J39" s="41">
        <v>1</v>
      </c>
      <c r="K39" s="42">
        <v>50998.33</v>
      </c>
      <c r="L39" s="42">
        <f>J39*K39</f>
        <v>50998.33</v>
      </c>
      <c r="M39" s="42" t="s">
        <v>458</v>
      </c>
    </row>
    <row r="40" spans="1:13">
      <c r="A40" s="45"/>
      <c r="B40" s="46"/>
      <c r="C40" s="47"/>
      <c r="D40" s="47"/>
      <c r="E40" s="47"/>
      <c r="F40" s="45"/>
      <c r="G40" s="45"/>
      <c r="H40" s="46" t="s">
        <v>14</v>
      </c>
      <c r="I40" s="46"/>
      <c r="J40" s="48"/>
      <c r="K40" s="49"/>
      <c r="L40" s="49">
        <f>SUM(L39:L39)</f>
        <v>50998.33</v>
      </c>
      <c r="M40" s="46"/>
    </row>
    <row r="41" spans="1:13">
      <c r="A41" s="50">
        <v>1</v>
      </c>
      <c r="B41" s="51" t="s">
        <v>498</v>
      </c>
      <c r="C41" s="43" t="s">
        <v>115</v>
      </c>
      <c r="D41" s="43" t="s">
        <v>462</v>
      </c>
      <c r="E41" s="43">
        <v>611021</v>
      </c>
      <c r="F41" s="40">
        <v>3110</v>
      </c>
      <c r="G41" s="40">
        <v>1014</v>
      </c>
      <c r="H41" s="39" t="s">
        <v>460</v>
      </c>
      <c r="I41" s="39" t="s">
        <v>12</v>
      </c>
      <c r="J41" s="41">
        <v>1</v>
      </c>
      <c r="K41" s="42">
        <v>50998.33</v>
      </c>
      <c r="L41" s="42">
        <f>J41*K41</f>
        <v>50998.33</v>
      </c>
      <c r="M41" s="42" t="s">
        <v>458</v>
      </c>
    </row>
    <row r="42" spans="1:13">
      <c r="A42" s="45"/>
      <c r="B42" s="46"/>
      <c r="C42" s="47"/>
      <c r="D42" s="47"/>
      <c r="E42" s="47"/>
      <c r="F42" s="45"/>
      <c r="G42" s="45"/>
      <c r="H42" s="46" t="s">
        <v>14</v>
      </c>
      <c r="I42" s="46"/>
      <c r="J42" s="48"/>
      <c r="K42" s="49"/>
      <c r="L42" s="49">
        <f>SUM(L41:L41)</f>
        <v>50998.33</v>
      </c>
      <c r="M42" s="46"/>
    </row>
    <row r="43" spans="1:13">
      <c r="A43" s="50">
        <v>1</v>
      </c>
      <c r="B43" s="51" t="s">
        <v>499</v>
      </c>
      <c r="C43" s="43" t="s">
        <v>115</v>
      </c>
      <c r="D43" s="43" t="s">
        <v>462</v>
      </c>
      <c r="E43" s="43">
        <v>611021</v>
      </c>
      <c r="F43" s="40">
        <v>3110</v>
      </c>
      <c r="G43" s="40">
        <v>1014</v>
      </c>
      <c r="H43" s="39" t="s">
        <v>460</v>
      </c>
      <c r="I43" s="39" t="s">
        <v>12</v>
      </c>
      <c r="J43" s="41">
        <v>1</v>
      </c>
      <c r="K43" s="42">
        <v>50998.33</v>
      </c>
      <c r="L43" s="42">
        <f>J43*K43</f>
        <v>50998.33</v>
      </c>
      <c r="M43" s="42" t="s">
        <v>458</v>
      </c>
    </row>
    <row r="44" spans="1:13">
      <c r="A44" s="45"/>
      <c r="B44" s="46"/>
      <c r="C44" s="47"/>
      <c r="D44" s="47"/>
      <c r="E44" s="47"/>
      <c r="F44" s="45"/>
      <c r="G44" s="45"/>
      <c r="H44" s="46" t="s">
        <v>14</v>
      </c>
      <c r="I44" s="46"/>
      <c r="J44" s="48"/>
      <c r="K44" s="49"/>
      <c r="L44" s="49">
        <f>SUM(L43:L43)</f>
        <v>50998.33</v>
      </c>
      <c r="M44" s="46"/>
    </row>
    <row r="45" spans="1:13">
      <c r="A45" s="40">
        <v>1</v>
      </c>
      <c r="B45" s="39" t="s">
        <v>500</v>
      </c>
      <c r="C45" s="43" t="s">
        <v>115</v>
      </c>
      <c r="D45" s="43" t="s">
        <v>462</v>
      </c>
      <c r="E45" s="43">
        <v>611021</v>
      </c>
      <c r="F45" s="40">
        <v>3110</v>
      </c>
      <c r="G45" s="40">
        <v>1014</v>
      </c>
      <c r="H45" s="39" t="s">
        <v>460</v>
      </c>
      <c r="I45" s="39" t="s">
        <v>12</v>
      </c>
      <c r="J45" s="41">
        <v>1</v>
      </c>
      <c r="K45" s="42">
        <v>50998.33</v>
      </c>
      <c r="L45" s="42">
        <f>J45*K45</f>
        <v>50998.33</v>
      </c>
      <c r="M45" s="42" t="s">
        <v>458</v>
      </c>
    </row>
    <row r="46" spans="1:13">
      <c r="A46" s="45"/>
      <c r="B46" s="46"/>
      <c r="C46" s="47"/>
      <c r="D46" s="47"/>
      <c r="E46" s="47"/>
      <c r="F46" s="45"/>
      <c r="G46" s="45"/>
      <c r="H46" s="46" t="s">
        <v>14</v>
      </c>
      <c r="I46" s="46"/>
      <c r="J46" s="48"/>
      <c r="K46" s="49"/>
      <c r="L46" s="49">
        <f>SUM(L45:L45)</f>
        <v>50998.33</v>
      </c>
      <c r="M46" s="46">
        <f>SUM(M45:M45)</f>
        <v>0</v>
      </c>
    </row>
    <row r="47" spans="1:13">
      <c r="A47" s="50">
        <v>1</v>
      </c>
      <c r="B47" s="51" t="s">
        <v>348</v>
      </c>
      <c r="C47" s="43" t="s">
        <v>115</v>
      </c>
      <c r="D47" s="43" t="s">
        <v>462</v>
      </c>
      <c r="E47" s="43">
        <v>611021</v>
      </c>
      <c r="F47" s="40">
        <v>3110</v>
      </c>
      <c r="G47" s="40">
        <v>1014</v>
      </c>
      <c r="H47" s="39" t="s">
        <v>460</v>
      </c>
      <c r="I47" s="39" t="s">
        <v>12</v>
      </c>
      <c r="J47" s="41">
        <v>1</v>
      </c>
      <c r="K47" s="42">
        <v>50998.33</v>
      </c>
      <c r="L47" s="42">
        <f>J47*K47</f>
        <v>50998.33</v>
      </c>
      <c r="M47" s="42" t="s">
        <v>458</v>
      </c>
    </row>
    <row r="48" spans="1:13">
      <c r="A48" s="45"/>
      <c r="B48" s="46"/>
      <c r="C48" s="47"/>
      <c r="D48" s="47"/>
      <c r="E48" s="47"/>
      <c r="F48" s="45"/>
      <c r="G48" s="45"/>
      <c r="H48" s="46" t="s">
        <v>14</v>
      </c>
      <c r="I48" s="46"/>
      <c r="J48" s="48"/>
      <c r="K48" s="49"/>
      <c r="L48" s="49">
        <f>SUM(L47:L47)</f>
        <v>50998.33</v>
      </c>
      <c r="M48" s="46"/>
    </row>
    <row r="49" spans="1:13">
      <c r="A49" s="40">
        <v>1</v>
      </c>
      <c r="B49" s="39" t="s">
        <v>170</v>
      </c>
      <c r="C49" s="43" t="s">
        <v>115</v>
      </c>
      <c r="D49" s="43" t="s">
        <v>462</v>
      </c>
      <c r="E49" s="43">
        <v>611021</v>
      </c>
      <c r="F49" s="40">
        <v>3110</v>
      </c>
      <c r="G49" s="40">
        <v>1014</v>
      </c>
      <c r="H49" s="39" t="s">
        <v>460</v>
      </c>
      <c r="I49" s="39" t="s">
        <v>12</v>
      </c>
      <c r="J49" s="41">
        <v>1</v>
      </c>
      <c r="K49" s="42">
        <v>50998.33</v>
      </c>
      <c r="L49" s="42">
        <f>J49*K49</f>
        <v>50998.33</v>
      </c>
      <c r="M49" s="42" t="s">
        <v>458</v>
      </c>
    </row>
    <row r="50" spans="1:13">
      <c r="A50" s="45"/>
      <c r="B50" s="46"/>
      <c r="C50" s="47"/>
      <c r="D50" s="47"/>
      <c r="E50" s="47"/>
      <c r="F50" s="45"/>
      <c r="G50" s="45"/>
      <c r="H50" s="46" t="s">
        <v>14</v>
      </c>
      <c r="I50" s="46"/>
      <c r="J50" s="48"/>
      <c r="K50" s="49"/>
      <c r="L50" s="49">
        <f>SUM(L49:L49)</f>
        <v>50998.33</v>
      </c>
      <c r="M50" s="46">
        <f>SUM(M49:M49)</f>
        <v>0</v>
      </c>
    </row>
    <row r="51" spans="1:13">
      <c r="A51" s="50">
        <v>1</v>
      </c>
      <c r="B51" s="51" t="s">
        <v>501</v>
      </c>
      <c r="C51" s="43" t="s">
        <v>115</v>
      </c>
      <c r="D51" s="43" t="s">
        <v>462</v>
      </c>
      <c r="E51" s="43">
        <v>611021</v>
      </c>
      <c r="F51" s="40">
        <v>3110</v>
      </c>
      <c r="G51" s="40">
        <v>1014</v>
      </c>
      <c r="H51" s="39" t="s">
        <v>460</v>
      </c>
      <c r="I51" s="39" t="s">
        <v>12</v>
      </c>
      <c r="J51" s="41">
        <v>1</v>
      </c>
      <c r="K51" s="42">
        <v>50998.33</v>
      </c>
      <c r="L51" s="42">
        <f>J51*K51</f>
        <v>50998.33</v>
      </c>
      <c r="M51" s="42" t="s">
        <v>458</v>
      </c>
    </row>
    <row r="52" spans="1:13">
      <c r="A52" s="45"/>
      <c r="B52" s="46"/>
      <c r="C52" s="47"/>
      <c r="D52" s="47"/>
      <c r="E52" s="47"/>
      <c r="F52" s="45"/>
      <c r="G52" s="45"/>
      <c r="H52" s="46" t="s">
        <v>14</v>
      </c>
      <c r="I52" s="46"/>
      <c r="J52" s="48"/>
      <c r="K52" s="49"/>
      <c r="L52" s="49">
        <f>SUM(L51:L51)</f>
        <v>50998.33</v>
      </c>
      <c r="M52" s="46">
        <f>SUM(M51:M51)</f>
        <v>0</v>
      </c>
    </row>
    <row r="53" spans="1:13">
      <c r="A53" s="40">
        <v>1</v>
      </c>
      <c r="B53" s="39" t="s">
        <v>502</v>
      </c>
      <c r="C53" s="43" t="s">
        <v>115</v>
      </c>
      <c r="D53" s="43" t="s">
        <v>462</v>
      </c>
      <c r="E53" s="43">
        <v>611021</v>
      </c>
      <c r="F53" s="40">
        <v>3110</v>
      </c>
      <c r="G53" s="40">
        <v>1014</v>
      </c>
      <c r="H53" s="39" t="s">
        <v>460</v>
      </c>
      <c r="I53" s="39" t="s">
        <v>12</v>
      </c>
      <c r="J53" s="41">
        <v>1</v>
      </c>
      <c r="K53" s="42">
        <v>50998.33</v>
      </c>
      <c r="L53" s="42">
        <f>J53*K53</f>
        <v>50998.33</v>
      </c>
      <c r="M53" s="42" t="s">
        <v>458</v>
      </c>
    </row>
    <row r="54" spans="1:13">
      <c r="A54" s="45"/>
      <c r="B54" s="46"/>
      <c r="C54" s="47"/>
      <c r="D54" s="47"/>
      <c r="E54" s="47"/>
      <c r="F54" s="45"/>
      <c r="G54" s="45"/>
      <c r="H54" s="46" t="s">
        <v>14</v>
      </c>
      <c r="I54" s="46"/>
      <c r="J54" s="48"/>
      <c r="K54" s="49"/>
      <c r="L54" s="49">
        <f>SUM(L53:L53)</f>
        <v>50998.33</v>
      </c>
      <c r="M54" s="46">
        <f>SUM(M53:M53)</f>
        <v>0</v>
      </c>
    </row>
    <row r="55" spans="1:13">
      <c r="A55" s="50">
        <v>1</v>
      </c>
      <c r="B55" s="51" t="s">
        <v>503</v>
      </c>
      <c r="C55" s="43" t="s">
        <v>115</v>
      </c>
      <c r="D55" s="43" t="s">
        <v>462</v>
      </c>
      <c r="E55" s="43">
        <v>611021</v>
      </c>
      <c r="F55" s="40">
        <v>3110</v>
      </c>
      <c r="G55" s="40">
        <v>1014</v>
      </c>
      <c r="H55" s="39" t="s">
        <v>460</v>
      </c>
      <c r="I55" s="39" t="s">
        <v>12</v>
      </c>
      <c r="J55" s="41">
        <v>1</v>
      </c>
      <c r="K55" s="42">
        <v>50998.33</v>
      </c>
      <c r="L55" s="42">
        <f>J55*K55</f>
        <v>50998.33</v>
      </c>
      <c r="M55" s="42" t="s">
        <v>458</v>
      </c>
    </row>
    <row r="56" spans="1:13">
      <c r="A56" s="45"/>
      <c r="B56" s="46"/>
      <c r="C56" s="47"/>
      <c r="D56" s="47"/>
      <c r="E56" s="47"/>
      <c r="F56" s="45"/>
      <c r="G56" s="45"/>
      <c r="H56" s="46" t="s">
        <v>14</v>
      </c>
      <c r="I56" s="46"/>
      <c r="J56" s="48"/>
      <c r="K56" s="49"/>
      <c r="L56" s="49">
        <f>SUM(L55:L55)</f>
        <v>50998.33</v>
      </c>
      <c r="M56" s="46"/>
    </row>
    <row r="57" spans="1:13" s="57" customFormat="1">
      <c r="A57" s="50">
        <v>1</v>
      </c>
      <c r="B57" s="51" t="s">
        <v>504</v>
      </c>
      <c r="C57" s="43" t="s">
        <v>115</v>
      </c>
      <c r="D57" s="43" t="s">
        <v>462</v>
      </c>
      <c r="E57" s="43">
        <v>611021</v>
      </c>
      <c r="F57" s="40">
        <v>3110</v>
      </c>
      <c r="G57" s="40">
        <v>1014</v>
      </c>
      <c r="H57" s="39" t="s">
        <v>460</v>
      </c>
      <c r="I57" s="39" t="s">
        <v>12</v>
      </c>
      <c r="J57" s="41">
        <v>1</v>
      </c>
      <c r="K57" s="42">
        <v>50998.33</v>
      </c>
      <c r="L57" s="42">
        <f>J57*K57</f>
        <v>50998.33</v>
      </c>
      <c r="M57" s="42" t="s">
        <v>458</v>
      </c>
    </row>
    <row r="58" spans="1:13">
      <c r="A58" s="45"/>
      <c r="B58" s="46"/>
      <c r="C58" s="47"/>
      <c r="D58" s="47"/>
      <c r="E58" s="47"/>
      <c r="F58" s="45"/>
      <c r="G58" s="45"/>
      <c r="H58" s="46" t="s">
        <v>14</v>
      </c>
      <c r="I58" s="46"/>
      <c r="J58" s="48"/>
      <c r="K58" s="49"/>
      <c r="L58" s="49">
        <f>SUM(L57:L57)</f>
        <v>50998.33</v>
      </c>
      <c r="M58" s="46"/>
    </row>
    <row r="59" spans="1:13" ht="15.75">
      <c r="A59" s="59"/>
      <c r="B59" s="58"/>
      <c r="C59" s="58" t="s">
        <v>307</v>
      </c>
      <c r="D59" s="58"/>
      <c r="E59" s="58"/>
      <c r="F59" s="59"/>
      <c r="G59" s="59"/>
      <c r="H59" s="58"/>
      <c r="I59" s="58"/>
      <c r="J59" s="60"/>
      <c r="K59" s="61"/>
      <c r="L59" s="83">
        <f>L58+L56+L54+L52+L50+L48+L46+L44+L42+L40+L38+L36+L34+L30+L32</f>
        <v>764974.95</v>
      </c>
      <c r="M59" s="58"/>
    </row>
    <row r="61" spans="1:13" ht="18.75">
      <c r="B61" s="38" t="s">
        <v>77</v>
      </c>
      <c r="H61" s="103" t="s">
        <v>505</v>
      </c>
      <c r="I61" s="103"/>
      <c r="J61" s="104"/>
      <c r="K61" s="105"/>
      <c r="L61" s="106">
        <f>L59+L28+L7+'Квітень КЗШ'!L225+'Квітень КЗШ'!L227</f>
        <v>2951932.8900000011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57"/>
  <sheetViews>
    <sheetView view="pageBreakPreview" topLeftCell="A25" zoomScale="78" zoomScaleSheetLayoutView="78" workbookViewId="0">
      <selection activeCell="H46" sqref="H46"/>
    </sheetView>
  </sheetViews>
  <sheetFormatPr defaultRowHeight="15"/>
  <cols>
    <col min="1" max="1" width="3.85546875" style="62" customWidth="1"/>
    <col min="2" max="2" width="13.42578125" style="38" customWidth="1"/>
    <col min="3" max="3" width="28.42578125" style="38" customWidth="1"/>
    <col min="4" max="4" width="19.28515625" style="38" customWidth="1"/>
    <col min="5" max="5" width="14.28515625" style="38" customWidth="1"/>
    <col min="6" max="6" width="10.28515625" style="62" hidden="1" customWidth="1"/>
    <col min="7" max="7" width="19.140625" style="62" customWidth="1"/>
    <col min="8" max="8" width="37.140625" style="38" customWidth="1"/>
    <col min="9" max="9" width="11.85546875" style="38" customWidth="1"/>
    <col min="10" max="10" width="9.140625" style="64" customWidth="1"/>
    <col min="11" max="11" width="14.7109375" style="44" customWidth="1"/>
    <col min="12" max="12" width="13.85546875" style="44" customWidth="1"/>
    <col min="13" max="13" width="22.85546875" style="38" hidden="1" customWidth="1"/>
    <col min="14" max="14" width="20.7109375" style="38" customWidth="1"/>
    <col min="15" max="16384" width="9.140625" style="38"/>
  </cols>
  <sheetData>
    <row r="1" spans="1:13" ht="18.75">
      <c r="A1" s="179" t="s">
        <v>508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  <c r="M2" s="89" t="s">
        <v>67</v>
      </c>
    </row>
    <row r="3" spans="1:13" ht="30">
      <c r="A3" s="40">
        <v>1</v>
      </c>
      <c r="B3" s="39" t="s">
        <v>507</v>
      </c>
      <c r="C3" s="43" t="s">
        <v>115</v>
      </c>
      <c r="D3" s="43" t="s">
        <v>461</v>
      </c>
      <c r="E3" s="43">
        <v>611021</v>
      </c>
      <c r="F3" s="40">
        <v>3110</v>
      </c>
      <c r="G3" s="40" t="s">
        <v>11</v>
      </c>
      <c r="H3" s="43" t="s">
        <v>509</v>
      </c>
      <c r="I3" s="39" t="s">
        <v>12</v>
      </c>
      <c r="J3" s="41">
        <v>1</v>
      </c>
      <c r="K3" s="42">
        <v>4772.3999999999996</v>
      </c>
      <c r="L3" s="42">
        <v>4772.3999999999996</v>
      </c>
      <c r="M3" s="42" t="s">
        <v>458</v>
      </c>
    </row>
    <row r="4" spans="1:13">
      <c r="A4" s="45"/>
      <c r="B4" s="46"/>
      <c r="C4" s="47"/>
      <c r="D4" s="47"/>
      <c r="E4" s="47"/>
      <c r="F4" s="45"/>
      <c r="G4" s="45"/>
      <c r="H4" s="46" t="s">
        <v>14</v>
      </c>
      <c r="I4" s="46"/>
      <c r="J4" s="48"/>
      <c r="K4" s="49"/>
      <c r="L4" s="49">
        <f>SUM(L3:L3)</f>
        <v>4772.3999999999996</v>
      </c>
      <c r="M4" s="49">
        <f>SUM(M3:M3)</f>
        <v>0</v>
      </c>
    </row>
    <row r="5" spans="1:13" ht="30">
      <c r="A5" s="40">
        <v>1</v>
      </c>
      <c r="B5" s="39" t="s">
        <v>31</v>
      </c>
      <c r="C5" s="43" t="s">
        <v>115</v>
      </c>
      <c r="D5" s="43" t="s">
        <v>461</v>
      </c>
      <c r="E5" s="43">
        <v>611021</v>
      </c>
      <c r="F5" s="40">
        <v>3110</v>
      </c>
      <c r="G5" s="40" t="s">
        <v>11</v>
      </c>
      <c r="H5" s="43" t="s">
        <v>509</v>
      </c>
      <c r="I5" s="39" t="s">
        <v>12</v>
      </c>
      <c r="J5" s="41">
        <v>2</v>
      </c>
      <c r="K5" s="42">
        <v>4772.3999999999996</v>
      </c>
      <c r="L5" s="42">
        <v>9544.7999999999993</v>
      </c>
      <c r="M5" s="42" t="s">
        <v>458</v>
      </c>
    </row>
    <row r="6" spans="1:13">
      <c r="A6" s="45"/>
      <c r="B6" s="46"/>
      <c r="C6" s="47"/>
      <c r="D6" s="47"/>
      <c r="E6" s="47"/>
      <c r="F6" s="45"/>
      <c r="G6" s="45"/>
      <c r="H6" s="46" t="s">
        <v>14</v>
      </c>
      <c r="I6" s="46"/>
      <c r="J6" s="48"/>
      <c r="K6" s="49"/>
      <c r="L6" s="49">
        <f>SUM(L5:L5)</f>
        <v>9544.7999999999993</v>
      </c>
      <c r="M6" s="49">
        <f>SUM(M5:M5)</f>
        <v>0</v>
      </c>
    </row>
    <row r="7" spans="1:13" ht="30">
      <c r="A7" s="50">
        <v>1</v>
      </c>
      <c r="B7" s="51" t="s">
        <v>35</v>
      </c>
      <c r="C7" s="43" t="s">
        <v>115</v>
      </c>
      <c r="D7" s="43" t="s">
        <v>461</v>
      </c>
      <c r="E7" s="43">
        <v>611021</v>
      </c>
      <c r="F7" s="40">
        <v>3110</v>
      </c>
      <c r="G7" s="40" t="s">
        <v>11</v>
      </c>
      <c r="H7" s="43" t="s">
        <v>509</v>
      </c>
      <c r="I7" s="39" t="s">
        <v>12</v>
      </c>
      <c r="J7" s="41">
        <v>2</v>
      </c>
      <c r="K7" s="42">
        <v>4772.3999999999996</v>
      </c>
      <c r="L7" s="42">
        <v>9544.7999999999993</v>
      </c>
      <c r="M7" s="42" t="s">
        <v>458</v>
      </c>
    </row>
    <row r="8" spans="1:13">
      <c r="A8" s="45"/>
      <c r="B8" s="46"/>
      <c r="C8" s="47"/>
      <c r="D8" s="47"/>
      <c r="E8" s="47"/>
      <c r="F8" s="45"/>
      <c r="G8" s="45"/>
      <c r="H8" s="46" t="s">
        <v>14</v>
      </c>
      <c r="I8" s="46"/>
      <c r="J8" s="48"/>
      <c r="K8" s="49"/>
      <c r="L8" s="49">
        <f>SUM(L7)</f>
        <v>9544.7999999999993</v>
      </c>
      <c r="M8" s="46"/>
    </row>
    <row r="9" spans="1:13" ht="30">
      <c r="A9" s="50">
        <v>1</v>
      </c>
      <c r="B9" s="51" t="s">
        <v>36</v>
      </c>
      <c r="C9" s="43" t="s">
        <v>115</v>
      </c>
      <c r="D9" s="43" t="s">
        <v>461</v>
      </c>
      <c r="E9" s="43">
        <v>611021</v>
      </c>
      <c r="F9" s="40">
        <v>3110</v>
      </c>
      <c r="G9" s="40" t="s">
        <v>11</v>
      </c>
      <c r="H9" s="43" t="s">
        <v>509</v>
      </c>
      <c r="I9" s="39" t="s">
        <v>12</v>
      </c>
      <c r="J9" s="41">
        <v>3</v>
      </c>
      <c r="K9" s="42">
        <v>4772.3999999999996</v>
      </c>
      <c r="L9" s="42">
        <v>14317.2</v>
      </c>
      <c r="M9" s="42" t="s">
        <v>458</v>
      </c>
    </row>
    <row r="10" spans="1:13">
      <c r="A10" s="45"/>
      <c r="B10" s="46"/>
      <c r="C10" s="47"/>
      <c r="D10" s="47"/>
      <c r="E10" s="47"/>
      <c r="F10" s="45"/>
      <c r="G10" s="45"/>
      <c r="H10" s="46" t="s">
        <v>14</v>
      </c>
      <c r="I10" s="46"/>
      <c r="J10" s="48"/>
      <c r="K10" s="49"/>
      <c r="L10" s="49">
        <f>SUM(L9:L9)</f>
        <v>14317.2</v>
      </c>
      <c r="M10" s="46">
        <f>SUM(M9:M9)</f>
        <v>0</v>
      </c>
    </row>
    <row r="11" spans="1:13" ht="30">
      <c r="A11" s="50">
        <v>1</v>
      </c>
      <c r="B11" s="51" t="s">
        <v>56</v>
      </c>
      <c r="C11" s="43" t="s">
        <v>115</v>
      </c>
      <c r="D11" s="43" t="s">
        <v>461</v>
      </c>
      <c r="E11" s="43">
        <v>611021</v>
      </c>
      <c r="F11" s="40">
        <v>3110</v>
      </c>
      <c r="G11" s="40" t="s">
        <v>11</v>
      </c>
      <c r="H11" s="43" t="s">
        <v>509</v>
      </c>
      <c r="I11" s="39" t="s">
        <v>12</v>
      </c>
      <c r="J11" s="41">
        <v>2</v>
      </c>
      <c r="K11" s="42">
        <v>4772.3999999999996</v>
      </c>
      <c r="L11" s="42">
        <v>9544.7999999999993</v>
      </c>
      <c r="M11" s="42" t="s">
        <v>458</v>
      </c>
    </row>
    <row r="12" spans="1:13">
      <c r="A12" s="45"/>
      <c r="B12" s="46"/>
      <c r="C12" s="47"/>
      <c r="D12" s="47"/>
      <c r="E12" s="47"/>
      <c r="F12" s="45"/>
      <c r="G12" s="45"/>
      <c r="H12" s="46" t="s">
        <v>14</v>
      </c>
      <c r="I12" s="46"/>
      <c r="J12" s="48"/>
      <c r="K12" s="49"/>
      <c r="L12" s="49">
        <f>SUM(L11:L11)</f>
        <v>9544.7999999999993</v>
      </c>
      <c r="M12" s="46">
        <f>SUM(M11:M11)</f>
        <v>0</v>
      </c>
    </row>
    <row r="13" spans="1:13" ht="30">
      <c r="A13" s="40">
        <v>1</v>
      </c>
      <c r="B13" s="39" t="s">
        <v>37</v>
      </c>
      <c r="C13" s="43" t="s">
        <v>115</v>
      </c>
      <c r="D13" s="43" t="s">
        <v>461</v>
      </c>
      <c r="E13" s="43">
        <v>611021</v>
      </c>
      <c r="F13" s="40">
        <v>3110</v>
      </c>
      <c r="G13" s="40" t="s">
        <v>11</v>
      </c>
      <c r="H13" s="43" t="s">
        <v>509</v>
      </c>
      <c r="I13" s="39" t="s">
        <v>12</v>
      </c>
      <c r="J13" s="41">
        <v>2</v>
      </c>
      <c r="K13" s="42">
        <v>4772.3999999999996</v>
      </c>
      <c r="L13" s="42">
        <v>9544.7999999999993</v>
      </c>
      <c r="M13" s="42" t="s">
        <v>458</v>
      </c>
    </row>
    <row r="14" spans="1:13">
      <c r="A14" s="45"/>
      <c r="B14" s="46"/>
      <c r="C14" s="47"/>
      <c r="D14" s="47"/>
      <c r="E14" s="47"/>
      <c r="F14" s="45"/>
      <c r="G14" s="45"/>
      <c r="H14" s="46" t="s">
        <v>14</v>
      </c>
      <c r="I14" s="46"/>
      <c r="J14" s="48"/>
      <c r="K14" s="49"/>
      <c r="L14" s="49">
        <f>SUM(L13:L13)</f>
        <v>9544.7999999999993</v>
      </c>
      <c r="M14" s="46">
        <f>SUM(M13:M13)</f>
        <v>0</v>
      </c>
    </row>
    <row r="15" spans="1:13" ht="30">
      <c r="A15" s="50">
        <v>1</v>
      </c>
      <c r="B15" s="51" t="s">
        <v>510</v>
      </c>
      <c r="C15" s="43" t="s">
        <v>115</v>
      </c>
      <c r="D15" s="43" t="s">
        <v>461</v>
      </c>
      <c r="E15" s="43">
        <v>611021</v>
      </c>
      <c r="F15" s="40">
        <v>3110</v>
      </c>
      <c r="G15" s="40" t="s">
        <v>11</v>
      </c>
      <c r="H15" s="43" t="s">
        <v>509</v>
      </c>
      <c r="I15" s="39" t="s">
        <v>12</v>
      </c>
      <c r="J15" s="41">
        <v>2</v>
      </c>
      <c r="K15" s="42">
        <v>4772.3999999999996</v>
      </c>
      <c r="L15" s="42">
        <v>9544.7999999999993</v>
      </c>
      <c r="M15" s="42" t="s">
        <v>458</v>
      </c>
    </row>
    <row r="16" spans="1:13">
      <c r="A16" s="45"/>
      <c r="B16" s="46"/>
      <c r="C16" s="47"/>
      <c r="D16" s="47"/>
      <c r="E16" s="47"/>
      <c r="F16" s="45"/>
      <c r="G16" s="45"/>
      <c r="H16" s="46" t="s">
        <v>14</v>
      </c>
      <c r="I16" s="46"/>
      <c r="J16" s="48"/>
      <c r="K16" s="49"/>
      <c r="L16" s="49">
        <f>SUM(L15:L15)</f>
        <v>9544.7999999999993</v>
      </c>
      <c r="M16" s="46"/>
    </row>
    <row r="17" spans="1:13" ht="30">
      <c r="A17" s="50">
        <v>1</v>
      </c>
      <c r="B17" s="51" t="s">
        <v>42</v>
      </c>
      <c r="C17" s="43" t="s">
        <v>115</v>
      </c>
      <c r="D17" s="43" t="s">
        <v>461</v>
      </c>
      <c r="E17" s="43">
        <v>611021</v>
      </c>
      <c r="F17" s="40">
        <v>3110</v>
      </c>
      <c r="G17" s="40" t="s">
        <v>11</v>
      </c>
      <c r="H17" s="43" t="s">
        <v>509</v>
      </c>
      <c r="I17" s="39" t="s">
        <v>12</v>
      </c>
      <c r="J17" s="41">
        <v>2</v>
      </c>
      <c r="K17" s="42">
        <v>4772.3999999999996</v>
      </c>
      <c r="L17" s="42">
        <v>9544.7999999999993</v>
      </c>
      <c r="M17" s="42" t="s">
        <v>458</v>
      </c>
    </row>
    <row r="18" spans="1:13">
      <c r="A18" s="45"/>
      <c r="B18" s="46"/>
      <c r="C18" s="47"/>
      <c r="D18" s="47"/>
      <c r="E18" s="47"/>
      <c r="F18" s="45"/>
      <c r="G18" s="45"/>
      <c r="H18" s="46" t="s">
        <v>14</v>
      </c>
      <c r="I18" s="46"/>
      <c r="J18" s="48"/>
      <c r="K18" s="49"/>
      <c r="L18" s="49">
        <f>SUM(L17:L17)</f>
        <v>9544.7999999999993</v>
      </c>
      <c r="M18" s="46"/>
    </row>
    <row r="19" spans="1:13" ht="30">
      <c r="A19" s="40">
        <v>1</v>
      </c>
      <c r="B19" s="39" t="s">
        <v>83</v>
      </c>
      <c r="C19" s="43" t="s">
        <v>115</v>
      </c>
      <c r="D19" s="43" t="s">
        <v>461</v>
      </c>
      <c r="E19" s="43">
        <v>611021</v>
      </c>
      <c r="F19" s="40">
        <v>3110</v>
      </c>
      <c r="G19" s="40" t="s">
        <v>11</v>
      </c>
      <c r="H19" s="43" t="s">
        <v>509</v>
      </c>
      <c r="I19" s="39" t="s">
        <v>12</v>
      </c>
      <c r="J19" s="41">
        <v>2</v>
      </c>
      <c r="K19" s="42">
        <v>4772.3999999999996</v>
      </c>
      <c r="L19" s="42">
        <v>9544.7999999999993</v>
      </c>
      <c r="M19" s="39" t="s">
        <v>459</v>
      </c>
    </row>
    <row r="20" spans="1:13">
      <c r="A20" s="45"/>
      <c r="B20" s="46"/>
      <c r="C20" s="47"/>
      <c r="D20" s="47"/>
      <c r="E20" s="47"/>
      <c r="F20" s="45"/>
      <c r="G20" s="45"/>
      <c r="H20" s="46" t="s">
        <v>14</v>
      </c>
      <c r="I20" s="46"/>
      <c r="J20" s="48"/>
      <c r="K20" s="49"/>
      <c r="L20" s="49">
        <f>SUM(L19:L19)</f>
        <v>9544.7999999999993</v>
      </c>
      <c r="M20" s="46">
        <f>SUM(M19:M19)</f>
        <v>0</v>
      </c>
    </row>
    <row r="21" spans="1:13" ht="30">
      <c r="A21" s="50">
        <v>1</v>
      </c>
      <c r="B21" s="51" t="s">
        <v>44</v>
      </c>
      <c r="C21" s="43" t="s">
        <v>115</v>
      </c>
      <c r="D21" s="43" t="s">
        <v>461</v>
      </c>
      <c r="E21" s="43">
        <v>611021</v>
      </c>
      <c r="F21" s="40">
        <v>3110</v>
      </c>
      <c r="G21" s="40" t="s">
        <v>11</v>
      </c>
      <c r="H21" s="43" t="s">
        <v>509</v>
      </c>
      <c r="I21" s="39" t="s">
        <v>12</v>
      </c>
      <c r="J21" s="41">
        <v>2</v>
      </c>
      <c r="K21" s="42">
        <v>4772.3999999999996</v>
      </c>
      <c r="L21" s="42">
        <v>9544.7999999999993</v>
      </c>
      <c r="M21" s="42" t="s">
        <v>458</v>
      </c>
    </row>
    <row r="22" spans="1:13">
      <c r="A22" s="50"/>
      <c r="B22" s="51" t="s">
        <v>44</v>
      </c>
      <c r="C22" s="43" t="s">
        <v>258</v>
      </c>
      <c r="D22" s="43" t="s">
        <v>258</v>
      </c>
      <c r="E22" s="43">
        <v>611021</v>
      </c>
      <c r="F22" s="40"/>
      <c r="G22" s="40">
        <v>1113</v>
      </c>
      <c r="H22" s="43" t="s">
        <v>511</v>
      </c>
      <c r="I22" s="39" t="s">
        <v>12</v>
      </c>
      <c r="J22" s="41">
        <v>2</v>
      </c>
      <c r="K22" s="42">
        <v>3500</v>
      </c>
      <c r="L22" s="42">
        <v>7000</v>
      </c>
      <c r="M22" s="42"/>
    </row>
    <row r="23" spans="1:13">
      <c r="A23" s="50"/>
      <c r="B23" s="51" t="s">
        <v>44</v>
      </c>
      <c r="C23" s="43" t="s">
        <v>258</v>
      </c>
      <c r="D23" s="43" t="s">
        <v>258</v>
      </c>
      <c r="E23" s="43">
        <v>611021</v>
      </c>
      <c r="F23" s="40"/>
      <c r="G23" s="40">
        <v>1113</v>
      </c>
      <c r="H23" s="43" t="s">
        <v>512</v>
      </c>
      <c r="I23" s="39" t="s">
        <v>12</v>
      </c>
      <c r="J23" s="41">
        <v>4</v>
      </c>
      <c r="K23" s="42">
        <v>4900</v>
      </c>
      <c r="L23" s="42">
        <v>19600</v>
      </c>
      <c r="M23" s="42"/>
    </row>
    <row r="24" spans="1:13">
      <c r="A24" s="50"/>
      <c r="B24" s="51" t="s">
        <v>44</v>
      </c>
      <c r="C24" s="43" t="s">
        <v>258</v>
      </c>
      <c r="D24" s="43" t="s">
        <v>258</v>
      </c>
      <c r="E24" s="43">
        <v>611021</v>
      </c>
      <c r="F24" s="40"/>
      <c r="G24" s="40">
        <v>1113</v>
      </c>
      <c r="H24" s="43" t="s">
        <v>513</v>
      </c>
      <c r="I24" s="39" t="s">
        <v>12</v>
      </c>
      <c r="J24" s="41">
        <v>3</v>
      </c>
      <c r="K24" s="42">
        <v>6400</v>
      </c>
      <c r="L24" s="42">
        <v>19200</v>
      </c>
      <c r="M24" s="42"/>
    </row>
    <row r="25" spans="1:13">
      <c r="A25" s="50"/>
      <c r="B25" s="51" t="s">
        <v>44</v>
      </c>
      <c r="C25" s="43" t="s">
        <v>258</v>
      </c>
      <c r="D25" s="43" t="s">
        <v>258</v>
      </c>
      <c r="E25" s="43">
        <v>611021</v>
      </c>
      <c r="F25" s="40"/>
      <c r="G25" s="40">
        <v>1113</v>
      </c>
      <c r="H25" s="43" t="s">
        <v>514</v>
      </c>
      <c r="I25" s="39" t="s">
        <v>12</v>
      </c>
      <c r="J25" s="41">
        <v>30</v>
      </c>
      <c r="K25" s="42">
        <v>800</v>
      </c>
      <c r="L25" s="42">
        <v>24000</v>
      </c>
      <c r="M25" s="42"/>
    </row>
    <row r="26" spans="1:13">
      <c r="A26" s="50"/>
      <c r="B26" s="51" t="s">
        <v>44</v>
      </c>
      <c r="C26" s="43" t="s">
        <v>258</v>
      </c>
      <c r="D26" s="43" t="s">
        <v>258</v>
      </c>
      <c r="E26" s="43">
        <v>611021</v>
      </c>
      <c r="F26" s="40"/>
      <c r="G26" s="40">
        <v>1113</v>
      </c>
      <c r="H26" s="43" t="s">
        <v>515</v>
      </c>
      <c r="I26" s="39" t="s">
        <v>12</v>
      </c>
      <c r="J26" s="41">
        <v>1</v>
      </c>
      <c r="K26" s="42">
        <v>16800</v>
      </c>
      <c r="L26" s="42">
        <v>16800</v>
      </c>
      <c r="M26" s="42"/>
    </row>
    <row r="27" spans="1:13">
      <c r="A27" s="50"/>
      <c r="B27" s="51" t="s">
        <v>44</v>
      </c>
      <c r="C27" s="43" t="s">
        <v>258</v>
      </c>
      <c r="D27" s="43" t="s">
        <v>258</v>
      </c>
      <c r="E27" s="43">
        <v>611021</v>
      </c>
      <c r="F27" s="40">
        <v>2210</v>
      </c>
      <c r="G27" s="40">
        <v>1113</v>
      </c>
      <c r="H27" s="39" t="s">
        <v>516</v>
      </c>
      <c r="I27" s="39" t="s">
        <v>12</v>
      </c>
      <c r="J27" s="41">
        <v>1</v>
      </c>
      <c r="K27" s="42">
        <v>2862</v>
      </c>
      <c r="L27" s="42">
        <v>2862</v>
      </c>
      <c r="M27" s="42" t="s">
        <v>458</v>
      </c>
    </row>
    <row r="28" spans="1:13">
      <c r="A28" s="50"/>
      <c r="B28" s="51" t="s">
        <v>44</v>
      </c>
      <c r="C28" s="43" t="s">
        <v>258</v>
      </c>
      <c r="D28" s="43" t="s">
        <v>258</v>
      </c>
      <c r="E28" s="43">
        <v>611021</v>
      </c>
      <c r="F28" s="40">
        <v>2210</v>
      </c>
      <c r="G28" s="40">
        <v>1513</v>
      </c>
      <c r="H28" s="39" t="s">
        <v>517</v>
      </c>
      <c r="I28" s="39" t="s">
        <v>12</v>
      </c>
      <c r="J28" s="41">
        <v>4</v>
      </c>
      <c r="K28" s="42">
        <v>7612.5</v>
      </c>
      <c r="L28" s="42">
        <v>30450</v>
      </c>
      <c r="M28" s="42" t="s">
        <v>458</v>
      </c>
    </row>
    <row r="29" spans="1:13">
      <c r="A29" s="45"/>
      <c r="B29" s="46"/>
      <c r="C29" s="47"/>
      <c r="D29" s="47"/>
      <c r="E29" s="47"/>
      <c r="F29" s="45"/>
      <c r="G29" s="45"/>
      <c r="H29" s="46" t="s">
        <v>14</v>
      </c>
      <c r="I29" s="46"/>
      <c r="J29" s="48"/>
      <c r="K29" s="49"/>
      <c r="L29" s="49">
        <f>SUM(L21:L28)</f>
        <v>129456.8</v>
      </c>
      <c r="M29" s="46"/>
    </row>
    <row r="30" spans="1:13" ht="30">
      <c r="A30" s="40">
        <v>1</v>
      </c>
      <c r="B30" s="39" t="s">
        <v>46</v>
      </c>
      <c r="C30" s="43" t="s">
        <v>115</v>
      </c>
      <c r="D30" s="43" t="s">
        <v>461</v>
      </c>
      <c r="E30" s="43">
        <v>611021</v>
      </c>
      <c r="F30" s="40">
        <v>3110</v>
      </c>
      <c r="G30" s="40" t="s">
        <v>11</v>
      </c>
      <c r="H30" s="43" t="s">
        <v>509</v>
      </c>
      <c r="I30" s="39" t="s">
        <v>12</v>
      </c>
      <c r="J30" s="41">
        <v>2</v>
      </c>
      <c r="K30" s="42">
        <v>4772.3999999999996</v>
      </c>
      <c r="L30" s="42">
        <v>9544.7999999999993</v>
      </c>
      <c r="M30" s="42" t="s">
        <v>458</v>
      </c>
    </row>
    <row r="31" spans="1:13">
      <c r="A31" s="45"/>
      <c r="B31" s="46"/>
      <c r="C31" s="47"/>
      <c r="D31" s="47"/>
      <c r="E31" s="47"/>
      <c r="F31" s="45"/>
      <c r="G31" s="45"/>
      <c r="H31" s="46" t="s">
        <v>14</v>
      </c>
      <c r="I31" s="46"/>
      <c r="J31" s="48"/>
      <c r="K31" s="49"/>
      <c r="L31" s="49">
        <f>SUM(L30:L30)</f>
        <v>9544.7999999999993</v>
      </c>
      <c r="M31" s="46">
        <f>SUM(M30:M30)</f>
        <v>0</v>
      </c>
    </row>
    <row r="32" spans="1:13" ht="30">
      <c r="A32" s="50"/>
      <c r="B32" s="51" t="s">
        <v>47</v>
      </c>
      <c r="C32" s="43" t="s">
        <v>115</v>
      </c>
      <c r="D32" s="43" t="s">
        <v>461</v>
      </c>
      <c r="E32" s="43">
        <v>611021</v>
      </c>
      <c r="F32" s="40">
        <v>3110</v>
      </c>
      <c r="G32" s="40" t="s">
        <v>11</v>
      </c>
      <c r="H32" s="43" t="s">
        <v>509</v>
      </c>
      <c r="I32" s="39" t="s">
        <v>12</v>
      </c>
      <c r="J32" s="41">
        <v>2</v>
      </c>
      <c r="K32" s="42">
        <v>4772.3999999999996</v>
      </c>
      <c r="L32" s="42">
        <v>9544.7999999999993</v>
      </c>
      <c r="M32" s="46"/>
    </row>
    <row r="33" spans="1:13">
      <c r="A33" s="45"/>
      <c r="B33" s="46"/>
      <c r="C33" s="47"/>
      <c r="D33" s="47"/>
      <c r="E33" s="47"/>
      <c r="F33" s="45"/>
      <c r="G33" s="45"/>
      <c r="H33" s="46"/>
      <c r="I33" s="46"/>
      <c r="J33" s="48"/>
      <c r="K33" s="49"/>
      <c r="L33" s="49">
        <f>SUM(L32)</f>
        <v>9544.7999999999993</v>
      </c>
      <c r="M33" s="46"/>
    </row>
    <row r="34" spans="1:13" ht="30">
      <c r="A34" s="50">
        <v>1</v>
      </c>
      <c r="B34" s="51" t="s">
        <v>48</v>
      </c>
      <c r="C34" s="43" t="s">
        <v>115</v>
      </c>
      <c r="D34" s="43" t="s">
        <v>461</v>
      </c>
      <c r="E34" s="43">
        <v>611021</v>
      </c>
      <c r="F34" s="40">
        <v>3110</v>
      </c>
      <c r="G34" s="40" t="s">
        <v>11</v>
      </c>
      <c r="H34" s="43" t="s">
        <v>509</v>
      </c>
      <c r="I34" s="39" t="s">
        <v>12</v>
      </c>
      <c r="J34" s="41">
        <v>3</v>
      </c>
      <c r="K34" s="42">
        <v>4772.3999999999996</v>
      </c>
      <c r="L34" s="42">
        <v>14317.2</v>
      </c>
      <c r="M34" s="42" t="s">
        <v>458</v>
      </c>
    </row>
    <row r="35" spans="1:13">
      <c r="A35" s="50"/>
      <c r="B35" s="51" t="s">
        <v>48</v>
      </c>
      <c r="C35" s="43" t="s">
        <v>519</v>
      </c>
      <c r="D35" s="43" t="s">
        <v>247</v>
      </c>
      <c r="E35" s="43">
        <v>611021</v>
      </c>
      <c r="F35" s="40"/>
      <c r="G35" s="40">
        <v>1113</v>
      </c>
      <c r="H35" s="43" t="s">
        <v>518</v>
      </c>
      <c r="I35" s="39" t="s">
        <v>12</v>
      </c>
      <c r="J35" s="41">
        <v>1</v>
      </c>
      <c r="K35" s="42">
        <v>2800</v>
      </c>
      <c r="L35" s="42">
        <v>2800</v>
      </c>
      <c r="M35" s="42"/>
    </row>
    <row r="36" spans="1:13">
      <c r="A36" s="45"/>
      <c r="B36" s="46"/>
      <c r="C36" s="47"/>
      <c r="D36" s="47"/>
      <c r="E36" s="47"/>
      <c r="F36" s="45"/>
      <c r="G36" s="45"/>
      <c r="H36" s="46" t="s">
        <v>14</v>
      </c>
      <c r="I36" s="46"/>
      <c r="J36" s="48"/>
      <c r="K36" s="49"/>
      <c r="L36" s="49">
        <f>SUM(L34:L35)</f>
        <v>17117.2</v>
      </c>
      <c r="M36" s="46">
        <f>SUM(M34:M34)</f>
        <v>0</v>
      </c>
    </row>
    <row r="37" spans="1:13" ht="30">
      <c r="A37" s="40">
        <v>1</v>
      </c>
      <c r="B37" s="39" t="s">
        <v>75</v>
      </c>
      <c r="C37" s="43" t="s">
        <v>115</v>
      </c>
      <c r="D37" s="43" t="s">
        <v>461</v>
      </c>
      <c r="E37" s="43">
        <v>611021</v>
      </c>
      <c r="F37" s="40">
        <v>3110</v>
      </c>
      <c r="G37" s="40" t="s">
        <v>11</v>
      </c>
      <c r="H37" s="43" t="s">
        <v>509</v>
      </c>
      <c r="I37" s="39" t="s">
        <v>12</v>
      </c>
      <c r="J37" s="41">
        <v>2</v>
      </c>
      <c r="K37" s="42">
        <v>4772.3999999999996</v>
      </c>
      <c r="L37" s="42">
        <v>9544.7999999999993</v>
      </c>
      <c r="M37" s="42" t="s">
        <v>458</v>
      </c>
    </row>
    <row r="38" spans="1:13">
      <c r="A38" s="40">
        <v>2</v>
      </c>
      <c r="B38" s="39" t="s">
        <v>75</v>
      </c>
      <c r="C38" s="43" t="s">
        <v>519</v>
      </c>
      <c r="D38" s="43" t="s">
        <v>247</v>
      </c>
      <c r="E38" s="43">
        <v>611021</v>
      </c>
      <c r="F38" s="40">
        <v>2210</v>
      </c>
      <c r="G38" s="40">
        <v>1113</v>
      </c>
      <c r="H38" s="39" t="s">
        <v>520</v>
      </c>
      <c r="I38" s="39" t="s">
        <v>12</v>
      </c>
      <c r="J38" s="53">
        <v>1</v>
      </c>
      <c r="K38" s="52">
        <v>2000</v>
      </c>
      <c r="L38" s="52">
        <v>2000</v>
      </c>
      <c r="M38" s="42" t="s">
        <v>459</v>
      </c>
    </row>
    <row r="39" spans="1:13">
      <c r="A39" s="45"/>
      <c r="B39" s="46"/>
      <c r="C39" s="47"/>
      <c r="D39" s="47"/>
      <c r="E39" s="47"/>
      <c r="F39" s="45"/>
      <c r="G39" s="45"/>
      <c r="H39" s="46" t="s">
        <v>14</v>
      </c>
      <c r="I39" s="46"/>
      <c r="J39" s="48"/>
      <c r="K39" s="49"/>
      <c r="L39" s="49">
        <f>SUM(L37:L38)</f>
        <v>11544.8</v>
      </c>
      <c r="M39" s="46">
        <f>SUM(M37:M38)</f>
        <v>0</v>
      </c>
    </row>
    <row r="40" spans="1:13" ht="30">
      <c r="A40" s="50"/>
      <c r="B40" s="51" t="s">
        <v>168</v>
      </c>
      <c r="C40" s="43" t="s">
        <v>115</v>
      </c>
      <c r="D40" s="43" t="s">
        <v>461</v>
      </c>
      <c r="E40" s="43">
        <v>611021</v>
      </c>
      <c r="F40" s="40">
        <v>3110</v>
      </c>
      <c r="G40" s="40" t="s">
        <v>11</v>
      </c>
      <c r="H40" s="43" t="s">
        <v>509</v>
      </c>
      <c r="I40" s="39" t="s">
        <v>12</v>
      </c>
      <c r="J40" s="41">
        <v>2</v>
      </c>
      <c r="K40" s="42">
        <v>4772.3999999999996</v>
      </c>
      <c r="L40" s="42">
        <v>9544.7999999999993</v>
      </c>
      <c r="M40" s="42" t="s">
        <v>458</v>
      </c>
    </row>
    <row r="41" spans="1:13">
      <c r="A41" s="45"/>
      <c r="B41" s="46"/>
      <c r="C41" s="47"/>
      <c r="D41" s="47"/>
      <c r="E41" s="47"/>
      <c r="F41" s="45"/>
      <c r="G41" s="45"/>
      <c r="H41" s="46" t="s">
        <v>14</v>
      </c>
      <c r="I41" s="46"/>
      <c r="J41" s="48"/>
      <c r="K41" s="49"/>
      <c r="L41" s="49">
        <f>SUM(L40:L40)</f>
        <v>9544.7999999999993</v>
      </c>
      <c r="M41" s="46"/>
    </row>
    <row r="42" spans="1:13" ht="30">
      <c r="A42" s="40">
        <v>1</v>
      </c>
      <c r="B42" s="39" t="s">
        <v>108</v>
      </c>
      <c r="C42" s="43" t="s">
        <v>115</v>
      </c>
      <c r="D42" s="43" t="s">
        <v>461</v>
      </c>
      <c r="E42" s="43">
        <v>611021</v>
      </c>
      <c r="F42" s="40">
        <v>3110</v>
      </c>
      <c r="G42" s="40" t="s">
        <v>11</v>
      </c>
      <c r="H42" s="43" t="s">
        <v>509</v>
      </c>
      <c r="I42" s="39" t="s">
        <v>12</v>
      </c>
      <c r="J42" s="41">
        <v>2</v>
      </c>
      <c r="K42" s="42">
        <v>4772.3999999999996</v>
      </c>
      <c r="L42" s="42">
        <v>9544.7999999999993</v>
      </c>
      <c r="M42" s="39"/>
    </row>
    <row r="43" spans="1:13">
      <c r="A43" s="45"/>
      <c r="B43" s="46"/>
      <c r="C43" s="47"/>
      <c r="D43" s="47"/>
      <c r="E43" s="47"/>
      <c r="F43" s="45"/>
      <c r="G43" s="45"/>
      <c r="H43" s="46" t="s">
        <v>14</v>
      </c>
      <c r="I43" s="46"/>
      <c r="J43" s="48"/>
      <c r="K43" s="49"/>
      <c r="L43" s="49">
        <f>SUM(L42:L42)</f>
        <v>9544.7999999999993</v>
      </c>
      <c r="M43" s="46">
        <f>SUM(M42:M42)</f>
        <v>0</v>
      </c>
    </row>
    <row r="44" spans="1:13" ht="30">
      <c r="A44" s="50">
        <v>1</v>
      </c>
      <c r="B44" s="51" t="s">
        <v>52</v>
      </c>
      <c r="C44" s="43" t="s">
        <v>115</v>
      </c>
      <c r="D44" s="43" t="s">
        <v>461</v>
      </c>
      <c r="E44" s="43">
        <v>611021</v>
      </c>
      <c r="F44" s="40">
        <v>3110</v>
      </c>
      <c r="G44" s="40" t="s">
        <v>11</v>
      </c>
      <c r="H44" s="43" t="s">
        <v>509</v>
      </c>
      <c r="I44" s="39" t="s">
        <v>12</v>
      </c>
      <c r="J44" s="41">
        <v>2</v>
      </c>
      <c r="K44" s="42">
        <v>4772.3999999999996</v>
      </c>
      <c r="L44" s="42">
        <v>9544.7999999999993</v>
      </c>
      <c r="M44" s="42" t="s">
        <v>458</v>
      </c>
    </row>
    <row r="45" spans="1:13">
      <c r="A45" s="45"/>
      <c r="B45" s="46"/>
      <c r="C45" s="47"/>
      <c r="D45" s="47"/>
      <c r="E45" s="47"/>
      <c r="F45" s="45"/>
      <c r="G45" s="45"/>
      <c r="H45" s="46" t="s">
        <v>14</v>
      </c>
      <c r="I45" s="46"/>
      <c r="J45" s="48"/>
      <c r="K45" s="49"/>
      <c r="L45" s="49">
        <f>SUM(L44:L44)</f>
        <v>9544.7999999999993</v>
      </c>
      <c r="M45" s="46">
        <f>SUM(M44:M44)</f>
        <v>0</v>
      </c>
    </row>
    <row r="46" spans="1:13" ht="30">
      <c r="A46" s="50">
        <v>1</v>
      </c>
      <c r="B46" s="51" t="s">
        <v>84</v>
      </c>
      <c r="C46" s="43" t="s">
        <v>115</v>
      </c>
      <c r="D46" s="43" t="s">
        <v>461</v>
      </c>
      <c r="E46" s="43">
        <v>611021</v>
      </c>
      <c r="F46" s="40">
        <v>3110</v>
      </c>
      <c r="G46" s="40" t="s">
        <v>11</v>
      </c>
      <c r="H46" s="43" t="s">
        <v>509</v>
      </c>
      <c r="I46" s="39" t="s">
        <v>12</v>
      </c>
      <c r="J46" s="41">
        <v>2</v>
      </c>
      <c r="K46" s="42">
        <v>4772.3999999999996</v>
      </c>
      <c r="L46" s="42">
        <v>9544.7999999999993</v>
      </c>
      <c r="M46" s="42" t="s">
        <v>458</v>
      </c>
    </row>
    <row r="47" spans="1:13">
      <c r="A47" s="45"/>
      <c r="B47" s="46"/>
      <c r="C47" s="47"/>
      <c r="D47" s="47"/>
      <c r="E47" s="47"/>
      <c r="F47" s="45"/>
      <c r="G47" s="45"/>
      <c r="H47" s="46" t="s">
        <v>14</v>
      </c>
      <c r="I47" s="46"/>
      <c r="J47" s="48"/>
      <c r="K47" s="49"/>
      <c r="L47" s="49">
        <f>SUM(L46:L46)</f>
        <v>9544.7999999999993</v>
      </c>
      <c r="M47" s="46">
        <f>SUM(M46:M46)</f>
        <v>0</v>
      </c>
    </row>
    <row r="48" spans="1:13" ht="30">
      <c r="A48" s="40">
        <v>1</v>
      </c>
      <c r="B48" s="39" t="s">
        <v>112</v>
      </c>
      <c r="C48" s="43" t="s">
        <v>115</v>
      </c>
      <c r="D48" s="43" t="s">
        <v>461</v>
      </c>
      <c r="E48" s="43">
        <v>611021</v>
      </c>
      <c r="F48" s="40">
        <v>3110</v>
      </c>
      <c r="G48" s="40" t="s">
        <v>11</v>
      </c>
      <c r="H48" s="43" t="s">
        <v>509</v>
      </c>
      <c r="I48" s="39" t="s">
        <v>12</v>
      </c>
      <c r="J48" s="41">
        <v>2</v>
      </c>
      <c r="K48" s="42">
        <v>4772.3999999999996</v>
      </c>
      <c r="L48" s="42">
        <v>9544.7999999999993</v>
      </c>
      <c r="M48" s="42" t="s">
        <v>458</v>
      </c>
    </row>
    <row r="49" spans="1:15">
      <c r="A49" s="45"/>
      <c r="B49" s="46"/>
      <c r="C49" s="47"/>
      <c r="D49" s="47"/>
      <c r="E49" s="47"/>
      <c r="F49" s="45"/>
      <c r="G49" s="45"/>
      <c r="H49" s="46" t="s">
        <v>14</v>
      </c>
      <c r="I49" s="46"/>
      <c r="J49" s="48"/>
      <c r="K49" s="49"/>
      <c r="L49" s="49">
        <f>SUM(L48:L48)</f>
        <v>9544.7999999999993</v>
      </c>
      <c r="M49" s="46">
        <f>SUM(M48:M48)</f>
        <v>0</v>
      </c>
    </row>
    <row r="50" spans="1:15" ht="30">
      <c r="A50" s="50"/>
      <c r="B50" s="51" t="s">
        <v>54</v>
      </c>
      <c r="C50" s="43" t="s">
        <v>115</v>
      </c>
      <c r="D50" s="43" t="s">
        <v>461</v>
      </c>
      <c r="E50" s="43">
        <v>611021</v>
      </c>
      <c r="F50" s="40">
        <v>3110</v>
      </c>
      <c r="G50" s="40" t="s">
        <v>11</v>
      </c>
      <c r="H50" s="43" t="s">
        <v>509</v>
      </c>
      <c r="I50" s="39" t="s">
        <v>12</v>
      </c>
      <c r="J50" s="41">
        <v>2</v>
      </c>
      <c r="K50" s="42">
        <v>4772.3999999999996</v>
      </c>
      <c r="L50" s="42">
        <v>9544.7999999999993</v>
      </c>
      <c r="M50" s="42" t="s">
        <v>458</v>
      </c>
    </row>
    <row r="51" spans="1:15">
      <c r="A51" s="45"/>
      <c r="B51" s="46"/>
      <c r="C51" s="47"/>
      <c r="D51" s="47"/>
      <c r="E51" s="47"/>
      <c r="F51" s="45"/>
      <c r="G51" s="45"/>
      <c r="H51" s="46" t="s">
        <v>14</v>
      </c>
      <c r="I51" s="46"/>
      <c r="J51" s="48"/>
      <c r="K51" s="49"/>
      <c r="L51" s="49">
        <f>SUM(L50:L50)</f>
        <v>9544.7999999999993</v>
      </c>
      <c r="M51" s="46"/>
      <c r="N51" s="44"/>
    </row>
    <row r="52" spans="1:15">
      <c r="A52" s="111" t="s">
        <v>475</v>
      </c>
      <c r="B52" s="112"/>
      <c r="C52" s="58"/>
      <c r="D52" s="58"/>
      <c r="E52" s="58"/>
      <c r="F52" s="59"/>
      <c r="G52" s="59"/>
      <c r="H52" s="58"/>
      <c r="I52" s="58"/>
      <c r="J52" s="60"/>
      <c r="K52" s="61"/>
      <c r="L52" s="61">
        <f>L51+L49+L47+L45+L43+L41+L39+L36+L33+L31+L29+L20+L18+L16+L14+L12+L10+L8+L6+L4</f>
        <v>320380.39999999997</v>
      </c>
      <c r="M52" s="58"/>
      <c r="N52" s="44">
        <f>320380.4</f>
        <v>320380.40000000002</v>
      </c>
      <c r="O52" s="44">
        <f>L52-N52</f>
        <v>0</v>
      </c>
    </row>
    <row r="53" spans="1:15" ht="45">
      <c r="A53" s="50">
        <v>1</v>
      </c>
      <c r="B53" s="51" t="s">
        <v>85</v>
      </c>
      <c r="C53" s="43" t="s">
        <v>115</v>
      </c>
      <c r="D53" s="43" t="s">
        <v>461</v>
      </c>
      <c r="E53" s="43">
        <v>611021</v>
      </c>
      <c r="F53" s="40">
        <v>3110</v>
      </c>
      <c r="G53" s="40" t="s">
        <v>11</v>
      </c>
      <c r="H53" s="43" t="s">
        <v>521</v>
      </c>
      <c r="I53" s="39" t="s">
        <v>12</v>
      </c>
      <c r="J53" s="41">
        <v>1</v>
      </c>
      <c r="K53" s="42">
        <v>4984.5600000000004</v>
      </c>
      <c r="L53" s="42">
        <v>4984.5600000000004</v>
      </c>
      <c r="M53" s="42" t="s">
        <v>458</v>
      </c>
    </row>
    <row r="54" spans="1:15">
      <c r="A54" s="45"/>
      <c r="B54" s="46"/>
      <c r="C54" s="46"/>
      <c r="D54" s="46"/>
      <c r="E54" s="46"/>
      <c r="F54" s="45"/>
      <c r="G54" s="45"/>
      <c r="H54" s="46"/>
      <c r="I54" s="46"/>
      <c r="J54" s="48"/>
      <c r="K54" s="49"/>
      <c r="L54" s="61">
        <f>SUM(L53:L53)</f>
        <v>4984.5600000000004</v>
      </c>
      <c r="M54" s="46">
        <f>SUM(M53:M53)</f>
        <v>0</v>
      </c>
    </row>
    <row r="55" spans="1:15">
      <c r="A55" s="59"/>
      <c r="B55" s="58"/>
      <c r="C55" s="58" t="s">
        <v>307</v>
      </c>
      <c r="D55" s="58"/>
      <c r="E55" s="58"/>
      <c r="F55" s="59"/>
      <c r="G55" s="59"/>
      <c r="H55" s="58"/>
      <c r="I55" s="58"/>
      <c r="J55" s="60"/>
      <c r="K55" s="61"/>
      <c r="L55" s="63">
        <f>L54+L52</f>
        <v>325364.95999999996</v>
      </c>
      <c r="M55" s="58"/>
    </row>
    <row r="57" spans="1:15">
      <c r="B57" s="38" t="s">
        <v>77</v>
      </c>
    </row>
  </sheetData>
  <mergeCells count="1">
    <mergeCell ref="A1:M1"/>
  </mergeCells>
  <pageMargins left="0.33" right="0.21" top="0.27" bottom="0.24" header="0.31496062992125984" footer="0.31496062992125984"/>
  <pageSetup paperSize="9" scale="75" orientation="landscape" verticalDpi="0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L92"/>
  <sheetViews>
    <sheetView view="pageBreakPreview" topLeftCell="A76" zoomScaleSheetLayoutView="100" workbookViewId="0">
      <selection activeCell="L84" sqref="L84:L86"/>
    </sheetView>
  </sheetViews>
  <sheetFormatPr defaultRowHeight="15"/>
  <cols>
    <col min="1" max="1" width="3.85546875" style="62" customWidth="1"/>
    <col min="2" max="2" width="21.7109375" style="38" customWidth="1"/>
    <col min="3" max="3" width="28.42578125" style="38" customWidth="1"/>
    <col min="4" max="4" width="17.42578125" style="38" customWidth="1"/>
    <col min="5" max="5" width="14.28515625" style="38" customWidth="1"/>
    <col min="6" max="6" width="12.28515625" style="62" customWidth="1"/>
    <col min="7" max="7" width="9.140625" style="62"/>
    <col min="8" max="8" width="35" style="38" customWidth="1"/>
    <col min="9" max="9" width="11.85546875" style="38" customWidth="1"/>
    <col min="10" max="10" width="9.140625" style="64" customWidth="1"/>
    <col min="11" max="11" width="15" style="44" customWidth="1"/>
    <col min="12" max="12" width="16.42578125" style="44" customWidth="1"/>
    <col min="13" max="13" width="20.7109375" style="38" customWidth="1"/>
    <col min="14" max="16384" width="9.140625" style="38"/>
  </cols>
  <sheetData>
    <row r="1" spans="1:12" ht="18.75">
      <c r="A1" s="179" t="s">
        <v>508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</row>
    <row r="3" spans="1:12" ht="45">
      <c r="A3" s="40">
        <v>1</v>
      </c>
      <c r="B3" s="39" t="s">
        <v>493</v>
      </c>
      <c r="C3" s="43" t="s">
        <v>115</v>
      </c>
      <c r="D3" s="43" t="s">
        <v>461</v>
      </c>
      <c r="E3" s="43">
        <v>611010</v>
      </c>
      <c r="F3" s="40">
        <v>2210</v>
      </c>
      <c r="G3" s="40" t="s">
        <v>11</v>
      </c>
      <c r="H3" s="43" t="s">
        <v>522</v>
      </c>
      <c r="I3" s="39" t="s">
        <v>12</v>
      </c>
      <c r="J3" s="41">
        <v>3</v>
      </c>
      <c r="K3" s="42">
        <v>4984</v>
      </c>
      <c r="L3" s="42">
        <v>14953.68</v>
      </c>
    </row>
    <row r="4" spans="1:12" ht="30">
      <c r="A4" s="40">
        <v>2</v>
      </c>
      <c r="B4" s="39" t="s">
        <v>493</v>
      </c>
      <c r="C4" s="43" t="s">
        <v>65</v>
      </c>
      <c r="D4" s="43"/>
      <c r="E4" s="43">
        <v>611010</v>
      </c>
      <c r="F4" s="40">
        <v>2220</v>
      </c>
      <c r="G4" s="40">
        <v>1512</v>
      </c>
      <c r="H4" s="39" t="s">
        <v>524</v>
      </c>
      <c r="I4" s="39" t="s">
        <v>12</v>
      </c>
      <c r="J4" s="41">
        <v>1247</v>
      </c>
      <c r="K4" s="42">
        <v>0.73</v>
      </c>
      <c r="L4" s="42">
        <v>910.31</v>
      </c>
    </row>
    <row r="5" spans="1:12" ht="30">
      <c r="A5" s="40">
        <v>3</v>
      </c>
      <c r="B5" s="39" t="s">
        <v>493</v>
      </c>
      <c r="C5" s="43" t="s">
        <v>65</v>
      </c>
      <c r="D5" s="43"/>
      <c r="E5" s="43">
        <v>611010</v>
      </c>
      <c r="F5" s="40">
        <v>2220</v>
      </c>
      <c r="G5" s="40">
        <v>1512</v>
      </c>
      <c r="H5" s="39" t="s">
        <v>424</v>
      </c>
      <c r="I5" s="39" t="s">
        <v>12</v>
      </c>
      <c r="J5" s="41">
        <v>328</v>
      </c>
      <c r="K5" s="42">
        <v>6.8</v>
      </c>
      <c r="L5" s="42">
        <v>2230.4</v>
      </c>
    </row>
    <row r="6" spans="1:12" ht="30">
      <c r="A6" s="40">
        <v>4</v>
      </c>
      <c r="B6" s="39" t="s">
        <v>493</v>
      </c>
      <c r="C6" s="43" t="s">
        <v>65</v>
      </c>
      <c r="D6" s="43"/>
      <c r="E6" s="43">
        <v>611010</v>
      </c>
      <c r="F6" s="40">
        <v>2220</v>
      </c>
      <c r="G6" s="40">
        <v>1512</v>
      </c>
      <c r="H6" s="39" t="s">
        <v>523</v>
      </c>
      <c r="I6" s="39" t="s">
        <v>12</v>
      </c>
      <c r="J6" s="41">
        <v>5</v>
      </c>
      <c r="K6" s="42">
        <v>48</v>
      </c>
      <c r="L6" s="42">
        <v>240</v>
      </c>
    </row>
    <row r="7" spans="1:12">
      <c r="A7" s="45"/>
      <c r="B7" s="46"/>
      <c r="C7" s="47"/>
      <c r="D7" s="47"/>
      <c r="E7" s="47"/>
      <c r="F7" s="45"/>
      <c r="G7" s="45"/>
      <c r="H7" s="46" t="s">
        <v>14</v>
      </c>
      <c r="I7" s="46"/>
      <c r="J7" s="48"/>
      <c r="K7" s="49"/>
      <c r="L7" s="49">
        <f>SUM(L3:L6)</f>
        <v>18334.39</v>
      </c>
    </row>
    <row r="8" spans="1:12" ht="45">
      <c r="A8" s="50">
        <v>1</v>
      </c>
      <c r="B8" s="51" t="s">
        <v>525</v>
      </c>
      <c r="C8" s="43" t="s">
        <v>115</v>
      </c>
      <c r="D8" s="43" t="s">
        <v>461</v>
      </c>
      <c r="E8" s="43">
        <v>611010</v>
      </c>
      <c r="F8" s="40">
        <v>2210</v>
      </c>
      <c r="G8" s="40" t="s">
        <v>11</v>
      </c>
      <c r="H8" s="43" t="s">
        <v>522</v>
      </c>
      <c r="I8" s="39" t="s">
        <v>12</v>
      </c>
      <c r="J8" s="41">
        <v>2</v>
      </c>
      <c r="K8" s="42">
        <v>4984</v>
      </c>
      <c r="L8" s="52">
        <v>9969.1200000000008</v>
      </c>
    </row>
    <row r="9" spans="1:12" ht="30">
      <c r="A9" s="50">
        <v>2</v>
      </c>
      <c r="B9" s="51" t="s">
        <v>525</v>
      </c>
      <c r="C9" s="43" t="s">
        <v>65</v>
      </c>
      <c r="D9" s="43"/>
      <c r="E9" s="43">
        <v>611010</v>
      </c>
      <c r="F9" s="40">
        <v>2220</v>
      </c>
      <c r="G9" s="40">
        <v>1512</v>
      </c>
      <c r="H9" s="39" t="s">
        <v>524</v>
      </c>
      <c r="I9" s="39" t="s">
        <v>12</v>
      </c>
      <c r="J9" s="41">
        <v>488</v>
      </c>
      <c r="K9" s="42">
        <v>0.73</v>
      </c>
      <c r="L9" s="52">
        <v>356.24</v>
      </c>
    </row>
    <row r="10" spans="1:12" ht="30">
      <c r="A10" s="50">
        <v>3</v>
      </c>
      <c r="B10" s="51" t="s">
        <v>525</v>
      </c>
      <c r="C10" s="43" t="s">
        <v>65</v>
      </c>
      <c r="D10" s="43"/>
      <c r="E10" s="43">
        <v>611010</v>
      </c>
      <c r="F10" s="40">
        <v>2220</v>
      </c>
      <c r="G10" s="40">
        <v>1512</v>
      </c>
      <c r="H10" s="39" t="s">
        <v>424</v>
      </c>
      <c r="I10" s="39" t="s">
        <v>12</v>
      </c>
      <c r="J10" s="41">
        <v>128</v>
      </c>
      <c r="K10" s="42">
        <v>6.8</v>
      </c>
      <c r="L10" s="52">
        <v>870.4</v>
      </c>
    </row>
    <row r="11" spans="1:12" ht="30">
      <c r="A11" s="50">
        <v>4</v>
      </c>
      <c r="B11" s="51" t="s">
        <v>525</v>
      </c>
      <c r="C11" s="43" t="s">
        <v>65</v>
      </c>
      <c r="D11" s="43"/>
      <c r="E11" s="43">
        <v>611010</v>
      </c>
      <c r="F11" s="40">
        <v>2220</v>
      </c>
      <c r="G11" s="40">
        <v>1512</v>
      </c>
      <c r="H11" s="39" t="s">
        <v>523</v>
      </c>
      <c r="I11" s="39" t="s">
        <v>12</v>
      </c>
      <c r="J11" s="41">
        <v>2</v>
      </c>
      <c r="K11" s="42">
        <v>48</v>
      </c>
      <c r="L11" s="52">
        <v>96</v>
      </c>
    </row>
    <row r="12" spans="1:12">
      <c r="A12" s="45"/>
      <c r="B12" s="46"/>
      <c r="C12" s="47"/>
      <c r="D12" s="47"/>
      <c r="E12" s="47"/>
      <c r="F12" s="45"/>
      <c r="G12" s="45"/>
      <c r="H12" s="46"/>
      <c r="I12" s="46"/>
      <c r="J12" s="48"/>
      <c r="K12" s="49"/>
      <c r="L12" s="49">
        <f>SUM(L8:L11)</f>
        <v>11291.76</v>
      </c>
    </row>
    <row r="13" spans="1:12" ht="45">
      <c r="A13" s="50">
        <v>1</v>
      </c>
      <c r="B13" s="51" t="s">
        <v>345</v>
      </c>
      <c r="C13" s="43" t="s">
        <v>115</v>
      </c>
      <c r="D13" s="43" t="s">
        <v>461</v>
      </c>
      <c r="E13" s="43">
        <v>611010</v>
      </c>
      <c r="F13" s="40">
        <v>2210</v>
      </c>
      <c r="G13" s="40" t="s">
        <v>11</v>
      </c>
      <c r="H13" s="43" t="s">
        <v>522</v>
      </c>
      <c r="I13" s="39" t="s">
        <v>12</v>
      </c>
      <c r="J13" s="41">
        <v>3</v>
      </c>
      <c r="K13" s="42">
        <v>4984</v>
      </c>
      <c r="L13" s="42">
        <v>14953.68</v>
      </c>
    </row>
    <row r="14" spans="1:12" ht="30">
      <c r="A14" s="50">
        <v>2</v>
      </c>
      <c r="B14" s="51" t="s">
        <v>345</v>
      </c>
      <c r="C14" s="43" t="s">
        <v>65</v>
      </c>
      <c r="D14" s="43"/>
      <c r="E14" s="43">
        <v>611010</v>
      </c>
      <c r="F14" s="40">
        <v>2220</v>
      </c>
      <c r="G14" s="40">
        <v>1512</v>
      </c>
      <c r="H14" s="39" t="s">
        <v>524</v>
      </c>
      <c r="I14" s="39" t="s">
        <v>12</v>
      </c>
      <c r="J14" s="41">
        <v>1030</v>
      </c>
      <c r="K14" s="42">
        <v>0.73</v>
      </c>
      <c r="L14" s="42">
        <v>751.9</v>
      </c>
    </row>
    <row r="15" spans="1:12" ht="30">
      <c r="A15" s="50">
        <v>3</v>
      </c>
      <c r="B15" s="51" t="s">
        <v>345</v>
      </c>
      <c r="C15" s="43" t="s">
        <v>65</v>
      </c>
      <c r="D15" s="43"/>
      <c r="E15" s="43">
        <v>611010</v>
      </c>
      <c r="F15" s="40">
        <v>2220</v>
      </c>
      <c r="G15" s="40">
        <v>1512</v>
      </c>
      <c r="H15" s="39" t="s">
        <v>424</v>
      </c>
      <c r="I15" s="39" t="s">
        <v>12</v>
      </c>
      <c r="J15" s="41">
        <v>271</v>
      </c>
      <c r="K15" s="42">
        <v>6.8</v>
      </c>
      <c r="L15" s="42">
        <v>1842.8</v>
      </c>
    </row>
    <row r="16" spans="1:12" ht="30">
      <c r="A16" s="50">
        <v>4</v>
      </c>
      <c r="B16" s="51" t="s">
        <v>345</v>
      </c>
      <c r="C16" s="43" t="s">
        <v>65</v>
      </c>
      <c r="D16" s="43"/>
      <c r="E16" s="43">
        <v>611010</v>
      </c>
      <c r="F16" s="40">
        <v>2220</v>
      </c>
      <c r="G16" s="40">
        <v>1512</v>
      </c>
      <c r="H16" s="39" t="s">
        <v>523</v>
      </c>
      <c r="I16" s="39" t="s">
        <v>12</v>
      </c>
      <c r="J16" s="41">
        <v>4</v>
      </c>
      <c r="K16" s="42">
        <v>48</v>
      </c>
      <c r="L16" s="42">
        <v>192</v>
      </c>
    </row>
    <row r="17" spans="1:12">
      <c r="A17" s="45"/>
      <c r="B17" s="46"/>
      <c r="C17" s="47"/>
      <c r="D17" s="47"/>
      <c r="E17" s="47"/>
      <c r="F17" s="45"/>
      <c r="G17" s="45"/>
      <c r="H17" s="46" t="s">
        <v>14</v>
      </c>
      <c r="I17" s="46"/>
      <c r="J17" s="48"/>
      <c r="K17" s="49"/>
      <c r="L17" s="49">
        <f>SUM(L13:L16)</f>
        <v>17740.38</v>
      </c>
    </row>
    <row r="18" spans="1:12" ht="45">
      <c r="A18" s="50">
        <v>1</v>
      </c>
      <c r="B18" s="51" t="s">
        <v>494</v>
      </c>
      <c r="C18" s="43" t="s">
        <v>115</v>
      </c>
      <c r="D18" s="43" t="s">
        <v>461</v>
      </c>
      <c r="E18" s="43">
        <v>611010</v>
      </c>
      <c r="F18" s="40">
        <v>2210</v>
      </c>
      <c r="G18" s="40" t="s">
        <v>11</v>
      </c>
      <c r="H18" s="43" t="s">
        <v>522</v>
      </c>
      <c r="I18" s="39" t="s">
        <v>12</v>
      </c>
      <c r="J18" s="41">
        <v>3</v>
      </c>
      <c r="K18" s="42">
        <v>4984</v>
      </c>
      <c r="L18" s="42">
        <v>14953.68</v>
      </c>
    </row>
    <row r="19" spans="1:12" ht="30">
      <c r="A19" s="50">
        <v>2</v>
      </c>
      <c r="B19" s="51" t="s">
        <v>494</v>
      </c>
      <c r="C19" s="43" t="s">
        <v>65</v>
      </c>
      <c r="D19" s="43"/>
      <c r="E19" s="43">
        <v>611010</v>
      </c>
      <c r="F19" s="40">
        <v>2220</v>
      </c>
      <c r="G19" s="40">
        <v>1512</v>
      </c>
      <c r="H19" s="39" t="s">
        <v>524</v>
      </c>
      <c r="I19" s="39" t="s">
        <v>12</v>
      </c>
      <c r="J19" s="41">
        <v>949</v>
      </c>
      <c r="K19" s="42">
        <v>0.73</v>
      </c>
      <c r="L19" s="42">
        <v>692.77</v>
      </c>
    </row>
    <row r="20" spans="1:12" ht="30">
      <c r="A20" s="50">
        <v>3</v>
      </c>
      <c r="B20" s="51" t="s">
        <v>494</v>
      </c>
      <c r="C20" s="43" t="s">
        <v>65</v>
      </c>
      <c r="D20" s="43"/>
      <c r="E20" s="43">
        <v>611010</v>
      </c>
      <c r="F20" s="40">
        <v>2220</v>
      </c>
      <c r="G20" s="40">
        <v>1512</v>
      </c>
      <c r="H20" s="39" t="s">
        <v>424</v>
      </c>
      <c r="I20" s="39" t="s">
        <v>12</v>
      </c>
      <c r="J20" s="41">
        <v>250</v>
      </c>
      <c r="K20" s="42">
        <v>6.8</v>
      </c>
      <c r="L20" s="42">
        <v>1700</v>
      </c>
    </row>
    <row r="21" spans="1:12" ht="30">
      <c r="A21" s="50">
        <v>4</v>
      </c>
      <c r="B21" s="51" t="s">
        <v>494</v>
      </c>
      <c r="C21" s="43" t="s">
        <v>65</v>
      </c>
      <c r="D21" s="43"/>
      <c r="E21" s="43">
        <v>611010</v>
      </c>
      <c r="F21" s="40">
        <v>2220</v>
      </c>
      <c r="G21" s="40">
        <v>1512</v>
      </c>
      <c r="H21" s="39" t="s">
        <v>523</v>
      </c>
      <c r="I21" s="39" t="s">
        <v>12</v>
      </c>
      <c r="J21" s="41">
        <v>4</v>
      </c>
      <c r="K21" s="42">
        <v>48</v>
      </c>
      <c r="L21" s="42">
        <v>192</v>
      </c>
    </row>
    <row r="22" spans="1:12">
      <c r="A22" s="45"/>
      <c r="B22" s="46"/>
      <c r="C22" s="47"/>
      <c r="D22" s="47"/>
      <c r="E22" s="47"/>
      <c r="F22" s="45"/>
      <c r="G22" s="45"/>
      <c r="H22" s="46" t="s">
        <v>14</v>
      </c>
      <c r="I22" s="46"/>
      <c r="J22" s="48"/>
      <c r="K22" s="49"/>
      <c r="L22" s="49">
        <f>SUM(L18:L21)</f>
        <v>17538.45</v>
      </c>
    </row>
    <row r="23" spans="1:12" ht="45">
      <c r="A23" s="50">
        <v>1</v>
      </c>
      <c r="B23" s="51" t="s">
        <v>495</v>
      </c>
      <c r="C23" s="43" t="s">
        <v>115</v>
      </c>
      <c r="D23" s="43" t="s">
        <v>461</v>
      </c>
      <c r="E23" s="43">
        <v>611010</v>
      </c>
      <c r="F23" s="40">
        <v>2210</v>
      </c>
      <c r="G23" s="40" t="s">
        <v>11</v>
      </c>
      <c r="H23" s="43" t="s">
        <v>522</v>
      </c>
      <c r="I23" s="39" t="s">
        <v>12</v>
      </c>
      <c r="J23" s="41">
        <v>4</v>
      </c>
      <c r="K23" s="42">
        <v>4984</v>
      </c>
      <c r="L23" s="42">
        <v>19938.240000000002</v>
      </c>
    </row>
    <row r="24" spans="1:12" ht="30">
      <c r="A24" s="50">
        <v>2</v>
      </c>
      <c r="B24" s="51" t="s">
        <v>495</v>
      </c>
      <c r="C24" s="43" t="s">
        <v>65</v>
      </c>
      <c r="D24" s="43"/>
      <c r="E24" s="43">
        <v>611010</v>
      </c>
      <c r="F24" s="40">
        <v>2220</v>
      </c>
      <c r="G24" s="40">
        <v>1512</v>
      </c>
      <c r="H24" s="39" t="s">
        <v>524</v>
      </c>
      <c r="I24" s="39" t="s">
        <v>12</v>
      </c>
      <c r="J24" s="41">
        <v>1220</v>
      </c>
      <c r="K24" s="42">
        <v>0.73</v>
      </c>
      <c r="L24" s="42">
        <v>890.6</v>
      </c>
    </row>
    <row r="25" spans="1:12" ht="30">
      <c r="A25" s="50">
        <v>3</v>
      </c>
      <c r="B25" s="51" t="s">
        <v>495</v>
      </c>
      <c r="C25" s="43" t="s">
        <v>65</v>
      </c>
      <c r="D25" s="43"/>
      <c r="E25" s="43">
        <v>611010</v>
      </c>
      <c r="F25" s="40">
        <v>2220</v>
      </c>
      <c r="G25" s="40">
        <v>1512</v>
      </c>
      <c r="H25" s="39" t="s">
        <v>424</v>
      </c>
      <c r="I25" s="39" t="s">
        <v>12</v>
      </c>
      <c r="J25" s="41">
        <v>321</v>
      </c>
      <c r="K25" s="42">
        <v>6.8</v>
      </c>
      <c r="L25" s="42">
        <v>2182.8000000000002</v>
      </c>
    </row>
    <row r="26" spans="1:12" ht="30">
      <c r="A26" s="50">
        <v>4</v>
      </c>
      <c r="B26" s="51" t="s">
        <v>495</v>
      </c>
      <c r="C26" s="43" t="s">
        <v>65</v>
      </c>
      <c r="D26" s="43"/>
      <c r="E26" s="43">
        <v>611010</v>
      </c>
      <c r="F26" s="40">
        <v>2220</v>
      </c>
      <c r="G26" s="40">
        <v>1512</v>
      </c>
      <c r="H26" s="39" t="s">
        <v>523</v>
      </c>
      <c r="I26" s="39" t="s">
        <v>12</v>
      </c>
      <c r="J26" s="41">
        <v>4</v>
      </c>
      <c r="K26" s="42">
        <v>48</v>
      </c>
      <c r="L26" s="42">
        <v>192</v>
      </c>
    </row>
    <row r="27" spans="1:12">
      <c r="A27" s="45"/>
      <c r="B27" s="46"/>
      <c r="C27" s="47"/>
      <c r="D27" s="47"/>
      <c r="E27" s="47"/>
      <c r="F27" s="45"/>
      <c r="G27" s="45"/>
      <c r="H27" s="46" t="s">
        <v>14</v>
      </c>
      <c r="I27" s="46"/>
      <c r="J27" s="48"/>
      <c r="K27" s="49"/>
      <c r="L27" s="49">
        <f>SUM(L23:L26)</f>
        <v>23203.64</v>
      </c>
    </row>
    <row r="28" spans="1:12" ht="45">
      <c r="A28" s="40">
        <v>1</v>
      </c>
      <c r="B28" s="39" t="s">
        <v>496</v>
      </c>
      <c r="C28" s="43" t="s">
        <v>115</v>
      </c>
      <c r="D28" s="43" t="s">
        <v>461</v>
      </c>
      <c r="E28" s="43">
        <v>611010</v>
      </c>
      <c r="F28" s="40">
        <v>2210</v>
      </c>
      <c r="G28" s="40" t="s">
        <v>11</v>
      </c>
      <c r="H28" s="43" t="s">
        <v>522</v>
      </c>
      <c r="I28" s="39" t="s">
        <v>12</v>
      </c>
      <c r="J28" s="41">
        <v>2</v>
      </c>
      <c r="K28" s="42">
        <v>4984</v>
      </c>
      <c r="L28" s="42">
        <v>9969.1200000000008</v>
      </c>
    </row>
    <row r="29" spans="1:12" ht="30">
      <c r="A29" s="40">
        <v>2</v>
      </c>
      <c r="B29" s="39" t="s">
        <v>496</v>
      </c>
      <c r="C29" s="43" t="s">
        <v>65</v>
      </c>
      <c r="D29" s="43"/>
      <c r="E29" s="43">
        <v>611010</v>
      </c>
      <c r="F29" s="40">
        <v>2220</v>
      </c>
      <c r="G29" s="40">
        <v>1512</v>
      </c>
      <c r="H29" s="39" t="s">
        <v>524</v>
      </c>
      <c r="I29" s="39" t="s">
        <v>12</v>
      </c>
      <c r="J29" s="41">
        <v>623</v>
      </c>
      <c r="K29" s="42">
        <v>0.73</v>
      </c>
      <c r="L29" s="42">
        <v>454.79</v>
      </c>
    </row>
    <row r="30" spans="1:12" ht="30">
      <c r="A30" s="40">
        <v>3</v>
      </c>
      <c r="B30" s="39" t="s">
        <v>496</v>
      </c>
      <c r="C30" s="43" t="s">
        <v>65</v>
      </c>
      <c r="D30" s="43"/>
      <c r="E30" s="43">
        <v>611010</v>
      </c>
      <c r="F30" s="40">
        <v>2220</v>
      </c>
      <c r="G30" s="40">
        <v>1512</v>
      </c>
      <c r="H30" s="39" t="s">
        <v>424</v>
      </c>
      <c r="I30" s="39" t="s">
        <v>12</v>
      </c>
      <c r="J30" s="41">
        <v>164</v>
      </c>
      <c r="K30" s="42">
        <v>6.8</v>
      </c>
      <c r="L30" s="42">
        <v>1115.2</v>
      </c>
    </row>
    <row r="31" spans="1:12" ht="30">
      <c r="A31" s="40">
        <v>4</v>
      </c>
      <c r="B31" s="39" t="s">
        <v>496</v>
      </c>
      <c r="C31" s="43" t="s">
        <v>65</v>
      </c>
      <c r="D31" s="43"/>
      <c r="E31" s="43">
        <v>611010</v>
      </c>
      <c r="F31" s="40">
        <v>2220</v>
      </c>
      <c r="G31" s="40">
        <v>1512</v>
      </c>
      <c r="H31" s="39" t="s">
        <v>523</v>
      </c>
      <c r="I31" s="39" t="s">
        <v>12</v>
      </c>
      <c r="J31" s="41">
        <v>2</v>
      </c>
      <c r="K31" s="42">
        <v>48</v>
      </c>
      <c r="L31" s="42">
        <v>96</v>
      </c>
    </row>
    <row r="32" spans="1:12">
      <c r="A32" s="45"/>
      <c r="B32" s="46"/>
      <c r="C32" s="47"/>
      <c r="D32" s="47"/>
      <c r="E32" s="47"/>
      <c r="F32" s="45"/>
      <c r="G32" s="45"/>
      <c r="H32" s="46" t="s">
        <v>14</v>
      </c>
      <c r="I32" s="46"/>
      <c r="J32" s="48"/>
      <c r="K32" s="49"/>
      <c r="L32" s="49">
        <f>SUM(L28:L31)</f>
        <v>11635.110000000002</v>
      </c>
    </row>
    <row r="33" spans="1:12" ht="45">
      <c r="A33" s="50">
        <v>1</v>
      </c>
      <c r="B33" s="51" t="s">
        <v>497</v>
      </c>
      <c r="C33" s="43" t="s">
        <v>115</v>
      </c>
      <c r="D33" s="43" t="s">
        <v>461</v>
      </c>
      <c r="E33" s="43">
        <v>611010</v>
      </c>
      <c r="F33" s="40">
        <v>2210</v>
      </c>
      <c r="G33" s="40" t="s">
        <v>11</v>
      </c>
      <c r="H33" s="43" t="s">
        <v>522</v>
      </c>
      <c r="I33" s="39" t="s">
        <v>12</v>
      </c>
      <c r="J33" s="41">
        <v>2</v>
      </c>
      <c r="K33" s="42">
        <v>4984</v>
      </c>
      <c r="L33" s="42">
        <v>9969.1200000000008</v>
      </c>
    </row>
    <row r="34" spans="1:12" ht="30">
      <c r="A34" s="50">
        <v>2</v>
      </c>
      <c r="B34" s="51" t="s">
        <v>497</v>
      </c>
      <c r="C34" s="43" t="s">
        <v>65</v>
      </c>
      <c r="D34" s="43"/>
      <c r="E34" s="43">
        <v>611010</v>
      </c>
      <c r="F34" s="40">
        <v>2220</v>
      </c>
      <c r="G34" s="40">
        <v>1512</v>
      </c>
      <c r="H34" s="39" t="s">
        <v>524</v>
      </c>
      <c r="I34" s="39" t="s">
        <v>12</v>
      </c>
      <c r="J34" s="41">
        <v>1301</v>
      </c>
      <c r="K34" s="42">
        <v>0.73</v>
      </c>
      <c r="L34" s="42">
        <v>949.73</v>
      </c>
    </row>
    <row r="35" spans="1:12" ht="30">
      <c r="A35" s="50">
        <v>3</v>
      </c>
      <c r="B35" s="51" t="s">
        <v>497</v>
      </c>
      <c r="C35" s="43" t="s">
        <v>65</v>
      </c>
      <c r="D35" s="43"/>
      <c r="E35" s="43">
        <v>611010</v>
      </c>
      <c r="F35" s="40">
        <v>2220</v>
      </c>
      <c r="G35" s="40">
        <v>1512</v>
      </c>
      <c r="H35" s="39" t="s">
        <v>424</v>
      </c>
      <c r="I35" s="39" t="s">
        <v>12</v>
      </c>
      <c r="J35" s="41">
        <v>342</v>
      </c>
      <c r="K35" s="42">
        <v>6.8</v>
      </c>
      <c r="L35" s="42">
        <v>2325.6</v>
      </c>
    </row>
    <row r="36" spans="1:12" ht="30">
      <c r="A36" s="50">
        <v>4</v>
      </c>
      <c r="B36" s="51" t="s">
        <v>497</v>
      </c>
      <c r="C36" s="43" t="s">
        <v>65</v>
      </c>
      <c r="D36" s="43"/>
      <c r="E36" s="43">
        <v>611010</v>
      </c>
      <c r="F36" s="40">
        <v>2220</v>
      </c>
      <c r="G36" s="40">
        <v>1512</v>
      </c>
      <c r="H36" s="39" t="s">
        <v>523</v>
      </c>
      <c r="I36" s="39" t="s">
        <v>12</v>
      </c>
      <c r="J36" s="41">
        <v>5</v>
      </c>
      <c r="K36" s="42">
        <v>48</v>
      </c>
      <c r="L36" s="42">
        <v>240</v>
      </c>
    </row>
    <row r="37" spans="1:12">
      <c r="A37" s="45"/>
      <c r="B37" s="46"/>
      <c r="C37" s="47"/>
      <c r="D37" s="47"/>
      <c r="E37" s="47"/>
      <c r="F37" s="45"/>
      <c r="G37" s="45"/>
      <c r="H37" s="46" t="s">
        <v>14</v>
      </c>
      <c r="I37" s="46"/>
      <c r="J37" s="48"/>
      <c r="K37" s="49"/>
      <c r="L37" s="49">
        <f>SUM(L33:L36)</f>
        <v>13484.45</v>
      </c>
    </row>
    <row r="38" spans="1:12" ht="45">
      <c r="A38" s="50">
        <v>1</v>
      </c>
      <c r="B38" s="51" t="s">
        <v>498</v>
      </c>
      <c r="C38" s="43" t="s">
        <v>115</v>
      </c>
      <c r="D38" s="43" t="s">
        <v>461</v>
      </c>
      <c r="E38" s="43">
        <v>611010</v>
      </c>
      <c r="F38" s="40">
        <v>2210</v>
      </c>
      <c r="G38" s="40" t="s">
        <v>11</v>
      </c>
      <c r="H38" s="43" t="s">
        <v>522</v>
      </c>
      <c r="I38" s="39" t="s">
        <v>12</v>
      </c>
      <c r="J38" s="41">
        <v>4</v>
      </c>
      <c r="K38" s="42">
        <v>4984</v>
      </c>
      <c r="L38" s="42">
        <v>19938.240000000002</v>
      </c>
    </row>
    <row r="39" spans="1:12" ht="30">
      <c r="A39" s="50">
        <v>2</v>
      </c>
      <c r="B39" s="51" t="s">
        <v>498</v>
      </c>
      <c r="C39" s="43" t="s">
        <v>65</v>
      </c>
      <c r="D39" s="43"/>
      <c r="E39" s="43">
        <v>611010</v>
      </c>
      <c r="F39" s="40">
        <v>2220</v>
      </c>
      <c r="G39" s="40">
        <v>1512</v>
      </c>
      <c r="H39" s="39" t="s">
        <v>524</v>
      </c>
      <c r="I39" s="39" t="s">
        <v>12</v>
      </c>
      <c r="J39" s="41">
        <v>1409</v>
      </c>
      <c r="K39" s="42">
        <v>0.73</v>
      </c>
      <c r="L39" s="42">
        <v>1028.57</v>
      </c>
    </row>
    <row r="40" spans="1:12" ht="30">
      <c r="A40" s="50">
        <v>3</v>
      </c>
      <c r="B40" s="51" t="s">
        <v>498</v>
      </c>
      <c r="C40" s="43" t="s">
        <v>65</v>
      </c>
      <c r="D40" s="43"/>
      <c r="E40" s="43">
        <v>611010</v>
      </c>
      <c r="F40" s="40">
        <v>2220</v>
      </c>
      <c r="G40" s="40">
        <v>1512</v>
      </c>
      <c r="H40" s="39" t="s">
        <v>424</v>
      </c>
      <c r="I40" s="39" t="s">
        <v>12</v>
      </c>
      <c r="J40" s="41">
        <v>371</v>
      </c>
      <c r="K40" s="42">
        <v>6.8</v>
      </c>
      <c r="L40" s="42">
        <v>2522.8000000000002</v>
      </c>
    </row>
    <row r="41" spans="1:12" ht="30">
      <c r="A41" s="50">
        <v>4</v>
      </c>
      <c r="B41" s="51" t="s">
        <v>498</v>
      </c>
      <c r="C41" s="43" t="s">
        <v>65</v>
      </c>
      <c r="D41" s="43"/>
      <c r="E41" s="43">
        <v>611010</v>
      </c>
      <c r="F41" s="40">
        <v>2220</v>
      </c>
      <c r="G41" s="40">
        <v>1512</v>
      </c>
      <c r="H41" s="39" t="s">
        <v>523</v>
      </c>
      <c r="I41" s="39" t="s">
        <v>12</v>
      </c>
      <c r="J41" s="41">
        <v>5</v>
      </c>
      <c r="K41" s="42">
        <v>48</v>
      </c>
      <c r="L41" s="42">
        <v>240</v>
      </c>
    </row>
    <row r="42" spans="1:12">
      <c r="A42" s="45"/>
      <c r="B42" s="46"/>
      <c r="C42" s="47"/>
      <c r="D42" s="47"/>
      <c r="E42" s="47"/>
      <c r="F42" s="45"/>
      <c r="G42" s="45"/>
      <c r="H42" s="46" t="s">
        <v>14</v>
      </c>
      <c r="I42" s="46"/>
      <c r="J42" s="48"/>
      <c r="K42" s="49"/>
      <c r="L42" s="49">
        <f>SUM(L38:L41)</f>
        <v>23729.61</v>
      </c>
    </row>
    <row r="43" spans="1:12" ht="45">
      <c r="A43" s="50">
        <v>1</v>
      </c>
      <c r="B43" s="51" t="s">
        <v>499</v>
      </c>
      <c r="C43" s="43" t="s">
        <v>115</v>
      </c>
      <c r="D43" s="43" t="s">
        <v>461</v>
      </c>
      <c r="E43" s="43">
        <v>611010</v>
      </c>
      <c r="F43" s="40">
        <v>2210</v>
      </c>
      <c r="G43" s="40" t="s">
        <v>11</v>
      </c>
      <c r="H43" s="43" t="s">
        <v>522</v>
      </c>
      <c r="I43" s="39" t="s">
        <v>12</v>
      </c>
      <c r="J43" s="41">
        <v>3</v>
      </c>
      <c r="K43" s="42">
        <v>4984</v>
      </c>
      <c r="L43" s="42">
        <v>14953.68</v>
      </c>
    </row>
    <row r="44" spans="1:12" ht="30">
      <c r="A44" s="50">
        <v>2</v>
      </c>
      <c r="B44" s="51" t="s">
        <v>499</v>
      </c>
      <c r="C44" s="43" t="s">
        <v>65</v>
      </c>
      <c r="D44" s="43"/>
      <c r="E44" s="43">
        <v>611010</v>
      </c>
      <c r="F44" s="40">
        <v>2220</v>
      </c>
      <c r="G44" s="40">
        <v>1512</v>
      </c>
      <c r="H44" s="39" t="s">
        <v>524</v>
      </c>
      <c r="I44" s="39" t="s">
        <v>12</v>
      </c>
      <c r="J44" s="41">
        <v>1437</v>
      </c>
      <c r="K44" s="42">
        <v>0.73</v>
      </c>
      <c r="L44" s="42">
        <v>1049.01</v>
      </c>
    </row>
    <row r="45" spans="1:12" ht="30">
      <c r="A45" s="50">
        <v>3</v>
      </c>
      <c r="B45" s="51" t="s">
        <v>499</v>
      </c>
      <c r="C45" s="43" t="s">
        <v>65</v>
      </c>
      <c r="D45" s="43"/>
      <c r="E45" s="43">
        <v>611010</v>
      </c>
      <c r="F45" s="40">
        <v>2220</v>
      </c>
      <c r="G45" s="40">
        <v>1512</v>
      </c>
      <c r="H45" s="39" t="s">
        <v>424</v>
      </c>
      <c r="I45" s="39" t="s">
        <v>12</v>
      </c>
      <c r="J45" s="41">
        <v>378</v>
      </c>
      <c r="K45" s="42">
        <v>6.8</v>
      </c>
      <c r="L45" s="42">
        <v>2570.4</v>
      </c>
    </row>
    <row r="46" spans="1:12" ht="30">
      <c r="A46" s="50">
        <v>4</v>
      </c>
      <c r="B46" s="51" t="s">
        <v>499</v>
      </c>
      <c r="C46" s="43" t="s">
        <v>65</v>
      </c>
      <c r="D46" s="43"/>
      <c r="E46" s="43">
        <v>611010</v>
      </c>
      <c r="F46" s="40">
        <v>2220</v>
      </c>
      <c r="G46" s="40">
        <v>1512</v>
      </c>
      <c r="H46" s="39" t="s">
        <v>523</v>
      </c>
      <c r="I46" s="39" t="s">
        <v>12</v>
      </c>
      <c r="J46" s="41">
        <v>5</v>
      </c>
      <c r="K46" s="42">
        <v>48</v>
      </c>
      <c r="L46" s="42">
        <v>240</v>
      </c>
    </row>
    <row r="47" spans="1:12">
      <c r="A47" s="45"/>
      <c r="B47" s="46"/>
      <c r="C47" s="47"/>
      <c r="D47" s="47"/>
      <c r="E47" s="47"/>
      <c r="F47" s="45"/>
      <c r="G47" s="45"/>
      <c r="H47" s="46" t="s">
        <v>14</v>
      </c>
      <c r="I47" s="46"/>
      <c r="J47" s="48"/>
      <c r="K47" s="49"/>
      <c r="L47" s="49">
        <f>SUM(L43:L46)</f>
        <v>18813.09</v>
      </c>
    </row>
    <row r="48" spans="1:12" ht="45">
      <c r="A48" s="40">
        <v>1</v>
      </c>
      <c r="B48" s="39" t="s">
        <v>500</v>
      </c>
      <c r="C48" s="43" t="s">
        <v>115</v>
      </c>
      <c r="D48" s="43" t="s">
        <v>461</v>
      </c>
      <c r="E48" s="43">
        <v>611010</v>
      </c>
      <c r="F48" s="40">
        <v>2210</v>
      </c>
      <c r="G48" s="40" t="s">
        <v>11</v>
      </c>
      <c r="H48" s="43" t="s">
        <v>522</v>
      </c>
      <c r="I48" s="39" t="s">
        <v>12</v>
      </c>
      <c r="J48" s="41">
        <v>3</v>
      </c>
      <c r="K48" s="42">
        <v>4984</v>
      </c>
      <c r="L48" s="42">
        <v>14953.68</v>
      </c>
    </row>
    <row r="49" spans="1:12" ht="30">
      <c r="A49" s="40">
        <v>2</v>
      </c>
      <c r="B49" s="39" t="s">
        <v>500</v>
      </c>
      <c r="C49" s="43" t="s">
        <v>65</v>
      </c>
      <c r="D49" s="43"/>
      <c r="E49" s="43">
        <v>611010</v>
      </c>
      <c r="F49" s="40">
        <v>2220</v>
      </c>
      <c r="G49" s="40">
        <v>1512</v>
      </c>
      <c r="H49" s="39" t="s">
        <v>524</v>
      </c>
      <c r="I49" s="39" t="s">
        <v>12</v>
      </c>
      <c r="J49" s="41">
        <v>1220</v>
      </c>
      <c r="K49" s="42">
        <v>0.73</v>
      </c>
      <c r="L49" s="42">
        <v>890.6</v>
      </c>
    </row>
    <row r="50" spans="1:12" ht="30">
      <c r="A50" s="40">
        <v>3</v>
      </c>
      <c r="B50" s="39" t="s">
        <v>500</v>
      </c>
      <c r="C50" s="43" t="s">
        <v>65</v>
      </c>
      <c r="D50" s="43"/>
      <c r="E50" s="43">
        <v>611010</v>
      </c>
      <c r="F50" s="40">
        <v>2220</v>
      </c>
      <c r="G50" s="40">
        <v>1512</v>
      </c>
      <c r="H50" s="39" t="s">
        <v>424</v>
      </c>
      <c r="I50" s="39" t="s">
        <v>12</v>
      </c>
      <c r="J50" s="41">
        <v>321</v>
      </c>
      <c r="K50" s="42">
        <v>6.8</v>
      </c>
      <c r="L50" s="42">
        <v>2182.8000000000002</v>
      </c>
    </row>
    <row r="51" spans="1:12" ht="30">
      <c r="A51" s="40">
        <v>4</v>
      </c>
      <c r="B51" s="39" t="s">
        <v>500</v>
      </c>
      <c r="C51" s="43" t="s">
        <v>65</v>
      </c>
      <c r="D51" s="43"/>
      <c r="E51" s="43">
        <v>611010</v>
      </c>
      <c r="F51" s="40">
        <v>2220</v>
      </c>
      <c r="G51" s="40">
        <v>1512</v>
      </c>
      <c r="H51" s="39" t="s">
        <v>523</v>
      </c>
      <c r="I51" s="39" t="s">
        <v>12</v>
      </c>
      <c r="J51" s="41">
        <v>4</v>
      </c>
      <c r="K51" s="42">
        <v>48</v>
      </c>
      <c r="L51" s="42">
        <v>192</v>
      </c>
    </row>
    <row r="52" spans="1:12">
      <c r="A52" s="45"/>
      <c r="B52" s="46"/>
      <c r="C52" s="47"/>
      <c r="D52" s="47"/>
      <c r="E52" s="47"/>
      <c r="F52" s="45"/>
      <c r="G52" s="45"/>
      <c r="H52" s="46" t="s">
        <v>14</v>
      </c>
      <c r="I52" s="46"/>
      <c r="J52" s="48"/>
      <c r="K52" s="49"/>
      <c r="L52" s="49">
        <f>SUM(L48:L51)</f>
        <v>18219.080000000002</v>
      </c>
    </row>
    <row r="53" spans="1:12" ht="45">
      <c r="A53" s="50">
        <v>1</v>
      </c>
      <c r="B53" s="51" t="s">
        <v>348</v>
      </c>
      <c r="C53" s="43" t="s">
        <v>115</v>
      </c>
      <c r="D53" s="43" t="s">
        <v>461</v>
      </c>
      <c r="E53" s="43">
        <v>611010</v>
      </c>
      <c r="F53" s="40">
        <v>2210</v>
      </c>
      <c r="G53" s="40" t="s">
        <v>11</v>
      </c>
      <c r="H53" s="43" t="s">
        <v>522</v>
      </c>
      <c r="I53" s="39" t="s">
        <v>12</v>
      </c>
      <c r="J53" s="41">
        <v>4</v>
      </c>
      <c r="K53" s="42">
        <v>4984</v>
      </c>
      <c r="L53" s="42">
        <v>19938.240000000002</v>
      </c>
    </row>
    <row r="54" spans="1:12" ht="30">
      <c r="A54" s="50">
        <v>2</v>
      </c>
      <c r="B54" s="51" t="s">
        <v>348</v>
      </c>
      <c r="C54" s="43" t="s">
        <v>65</v>
      </c>
      <c r="D54" s="43"/>
      <c r="E54" s="43">
        <v>611010</v>
      </c>
      <c r="F54" s="40">
        <v>2220</v>
      </c>
      <c r="G54" s="40">
        <v>1512</v>
      </c>
      <c r="H54" s="39" t="s">
        <v>524</v>
      </c>
      <c r="I54" s="39" t="s">
        <v>12</v>
      </c>
      <c r="J54" s="41">
        <v>1138</v>
      </c>
      <c r="K54" s="42">
        <v>0.73</v>
      </c>
      <c r="L54" s="42">
        <v>830.74</v>
      </c>
    </row>
    <row r="55" spans="1:12" ht="30">
      <c r="A55" s="50">
        <v>3</v>
      </c>
      <c r="B55" s="51" t="s">
        <v>348</v>
      </c>
      <c r="C55" s="43" t="s">
        <v>65</v>
      </c>
      <c r="D55" s="43"/>
      <c r="E55" s="43">
        <v>611010</v>
      </c>
      <c r="F55" s="40">
        <v>2220</v>
      </c>
      <c r="G55" s="40">
        <v>1512</v>
      </c>
      <c r="H55" s="39" t="s">
        <v>424</v>
      </c>
      <c r="I55" s="39" t="s">
        <v>12</v>
      </c>
      <c r="J55" s="41">
        <v>300</v>
      </c>
      <c r="K55" s="42">
        <v>6.8</v>
      </c>
      <c r="L55" s="42">
        <v>2040</v>
      </c>
    </row>
    <row r="56" spans="1:12" ht="30">
      <c r="A56" s="50">
        <v>4</v>
      </c>
      <c r="B56" s="51" t="s">
        <v>348</v>
      </c>
      <c r="C56" s="43" t="s">
        <v>65</v>
      </c>
      <c r="D56" s="43"/>
      <c r="E56" s="43">
        <v>611010</v>
      </c>
      <c r="F56" s="40">
        <v>2220</v>
      </c>
      <c r="G56" s="40">
        <v>1512</v>
      </c>
      <c r="H56" s="39" t="s">
        <v>523</v>
      </c>
      <c r="I56" s="39" t="s">
        <v>12</v>
      </c>
      <c r="J56" s="41">
        <v>4</v>
      </c>
      <c r="K56" s="42">
        <v>48</v>
      </c>
      <c r="L56" s="42">
        <v>192</v>
      </c>
    </row>
    <row r="57" spans="1:12">
      <c r="A57" s="45"/>
      <c r="B57" s="46"/>
      <c r="C57" s="47"/>
      <c r="D57" s="47"/>
      <c r="E57" s="47"/>
      <c r="F57" s="45"/>
      <c r="G57" s="45"/>
      <c r="H57" s="46" t="s">
        <v>14</v>
      </c>
      <c r="I57" s="46"/>
      <c r="J57" s="48"/>
      <c r="K57" s="49"/>
      <c r="L57" s="49">
        <f>SUM(L53:L56)</f>
        <v>23000.980000000003</v>
      </c>
    </row>
    <row r="58" spans="1:12" ht="45">
      <c r="A58" s="40">
        <v>1</v>
      </c>
      <c r="B58" s="39" t="s">
        <v>170</v>
      </c>
      <c r="C58" s="43" t="s">
        <v>115</v>
      </c>
      <c r="D58" s="43" t="s">
        <v>461</v>
      </c>
      <c r="E58" s="43">
        <v>611010</v>
      </c>
      <c r="F58" s="40">
        <v>2210</v>
      </c>
      <c r="G58" s="40" t="s">
        <v>11</v>
      </c>
      <c r="H58" s="43" t="s">
        <v>522</v>
      </c>
      <c r="I58" s="39" t="s">
        <v>12</v>
      </c>
      <c r="J58" s="41">
        <v>1</v>
      </c>
      <c r="K58" s="42">
        <v>4984</v>
      </c>
      <c r="L58" s="42">
        <v>4984.5600000000004</v>
      </c>
    </row>
    <row r="59" spans="1:12" ht="30">
      <c r="A59" s="40">
        <v>2</v>
      </c>
      <c r="B59" s="39" t="s">
        <v>170</v>
      </c>
      <c r="C59" s="43" t="s">
        <v>65</v>
      </c>
      <c r="D59" s="43"/>
      <c r="E59" s="43">
        <v>611010</v>
      </c>
      <c r="F59" s="40">
        <v>2220</v>
      </c>
      <c r="G59" s="40">
        <v>1512</v>
      </c>
      <c r="H59" s="39" t="s">
        <v>524</v>
      </c>
      <c r="I59" s="39" t="s">
        <v>12</v>
      </c>
      <c r="J59" s="41">
        <v>623</v>
      </c>
      <c r="K59" s="42">
        <v>0.73</v>
      </c>
      <c r="L59" s="42">
        <v>454.79</v>
      </c>
    </row>
    <row r="60" spans="1:12" ht="30">
      <c r="A60" s="40">
        <v>3</v>
      </c>
      <c r="B60" s="39" t="s">
        <v>170</v>
      </c>
      <c r="C60" s="43" t="s">
        <v>65</v>
      </c>
      <c r="D60" s="43"/>
      <c r="E60" s="43">
        <v>611010</v>
      </c>
      <c r="F60" s="40">
        <v>2220</v>
      </c>
      <c r="G60" s="40">
        <v>1512</v>
      </c>
      <c r="H60" s="39" t="s">
        <v>424</v>
      </c>
      <c r="I60" s="39" t="s">
        <v>12</v>
      </c>
      <c r="J60" s="41">
        <v>164</v>
      </c>
      <c r="K60" s="42">
        <v>6.8</v>
      </c>
      <c r="L60" s="42">
        <v>1115.2</v>
      </c>
    </row>
    <row r="61" spans="1:12" ht="30">
      <c r="A61" s="40">
        <v>4</v>
      </c>
      <c r="B61" s="39" t="s">
        <v>170</v>
      </c>
      <c r="C61" s="43" t="s">
        <v>65</v>
      </c>
      <c r="D61" s="43"/>
      <c r="E61" s="43">
        <v>611010</v>
      </c>
      <c r="F61" s="40">
        <v>2220</v>
      </c>
      <c r="G61" s="40">
        <v>1512</v>
      </c>
      <c r="H61" s="39" t="s">
        <v>523</v>
      </c>
      <c r="I61" s="39" t="s">
        <v>12</v>
      </c>
      <c r="J61" s="41">
        <v>2</v>
      </c>
      <c r="K61" s="42">
        <v>48</v>
      </c>
      <c r="L61" s="42">
        <v>96</v>
      </c>
    </row>
    <row r="62" spans="1:12">
      <c r="A62" s="45"/>
      <c r="B62" s="46"/>
      <c r="C62" s="47"/>
      <c r="D62" s="47"/>
      <c r="E62" s="47"/>
      <c r="F62" s="45"/>
      <c r="G62" s="45"/>
      <c r="H62" s="46" t="s">
        <v>14</v>
      </c>
      <c r="I62" s="46"/>
      <c r="J62" s="48"/>
      <c r="K62" s="49"/>
      <c r="L62" s="49">
        <f>SUM(L58:L61)</f>
        <v>6650.55</v>
      </c>
    </row>
    <row r="63" spans="1:12" ht="45">
      <c r="A63" s="50">
        <v>1</v>
      </c>
      <c r="B63" s="51" t="s">
        <v>501</v>
      </c>
      <c r="C63" s="43" t="s">
        <v>115</v>
      </c>
      <c r="D63" s="43" t="s">
        <v>461</v>
      </c>
      <c r="E63" s="43">
        <v>611010</v>
      </c>
      <c r="F63" s="40">
        <v>2210</v>
      </c>
      <c r="G63" s="40" t="s">
        <v>11</v>
      </c>
      <c r="H63" s="43" t="s">
        <v>522</v>
      </c>
      <c r="I63" s="39" t="s">
        <v>12</v>
      </c>
      <c r="J63" s="41">
        <v>4</v>
      </c>
      <c r="K63" s="42">
        <v>4984</v>
      </c>
      <c r="L63" s="42">
        <v>19938.240000000002</v>
      </c>
    </row>
    <row r="64" spans="1:12" ht="30">
      <c r="A64" s="50">
        <v>2</v>
      </c>
      <c r="B64" s="51" t="s">
        <v>501</v>
      </c>
      <c r="C64" s="43" t="s">
        <v>65</v>
      </c>
      <c r="D64" s="43"/>
      <c r="E64" s="43">
        <v>611010</v>
      </c>
      <c r="F64" s="40">
        <v>2220</v>
      </c>
      <c r="G64" s="40">
        <v>1512</v>
      </c>
      <c r="H64" s="39" t="s">
        <v>524</v>
      </c>
      <c r="I64" s="39" t="s">
        <v>12</v>
      </c>
      <c r="J64" s="41">
        <v>1274</v>
      </c>
      <c r="K64" s="42">
        <v>0.73</v>
      </c>
      <c r="L64" s="42">
        <v>930.02</v>
      </c>
    </row>
    <row r="65" spans="1:12" ht="30">
      <c r="A65" s="50">
        <v>3</v>
      </c>
      <c r="B65" s="51" t="s">
        <v>501</v>
      </c>
      <c r="C65" s="43" t="s">
        <v>65</v>
      </c>
      <c r="D65" s="43"/>
      <c r="E65" s="43">
        <v>611010</v>
      </c>
      <c r="F65" s="40">
        <v>2220</v>
      </c>
      <c r="G65" s="40">
        <v>1512</v>
      </c>
      <c r="H65" s="39" t="s">
        <v>424</v>
      </c>
      <c r="I65" s="39" t="s">
        <v>12</v>
      </c>
      <c r="J65" s="41">
        <v>335</v>
      </c>
      <c r="K65" s="42">
        <v>6.8</v>
      </c>
      <c r="L65" s="42">
        <v>2278</v>
      </c>
    </row>
    <row r="66" spans="1:12" ht="30">
      <c r="A66" s="50">
        <v>4</v>
      </c>
      <c r="B66" s="51" t="s">
        <v>501</v>
      </c>
      <c r="C66" s="43" t="s">
        <v>65</v>
      </c>
      <c r="D66" s="43"/>
      <c r="E66" s="43">
        <v>611010</v>
      </c>
      <c r="F66" s="40">
        <v>2220</v>
      </c>
      <c r="G66" s="40">
        <v>1512</v>
      </c>
      <c r="H66" s="39" t="s">
        <v>523</v>
      </c>
      <c r="I66" s="39" t="s">
        <v>12</v>
      </c>
      <c r="J66" s="41">
        <v>5</v>
      </c>
      <c r="K66" s="42">
        <v>48</v>
      </c>
      <c r="L66" s="42">
        <v>240</v>
      </c>
    </row>
    <row r="67" spans="1:12">
      <c r="A67" s="45"/>
      <c r="B67" s="46"/>
      <c r="C67" s="47"/>
      <c r="D67" s="47"/>
      <c r="E67" s="47"/>
      <c r="F67" s="45"/>
      <c r="G67" s="45"/>
      <c r="H67" s="46" t="s">
        <v>14</v>
      </c>
      <c r="I67" s="46"/>
      <c r="J67" s="48"/>
      <c r="K67" s="49"/>
      <c r="L67" s="49">
        <f>SUM(L63:L66)</f>
        <v>23386.260000000002</v>
      </c>
    </row>
    <row r="68" spans="1:12" ht="45">
      <c r="A68" s="40">
        <v>1</v>
      </c>
      <c r="B68" s="39" t="s">
        <v>502</v>
      </c>
      <c r="C68" s="43" t="s">
        <v>115</v>
      </c>
      <c r="D68" s="43" t="s">
        <v>461</v>
      </c>
      <c r="E68" s="43">
        <v>611010</v>
      </c>
      <c r="F68" s="40">
        <v>2210</v>
      </c>
      <c r="G68" s="40" t="s">
        <v>11</v>
      </c>
      <c r="H68" s="43" t="s">
        <v>522</v>
      </c>
      <c r="I68" s="39" t="s">
        <v>12</v>
      </c>
      <c r="J68" s="41">
        <v>3</v>
      </c>
      <c r="K68" s="42">
        <v>4984</v>
      </c>
      <c r="L68" s="42">
        <v>14953.68</v>
      </c>
    </row>
    <row r="69" spans="1:12" ht="30">
      <c r="A69" s="40">
        <v>2</v>
      </c>
      <c r="B69" s="39" t="s">
        <v>502</v>
      </c>
      <c r="C69" s="43" t="s">
        <v>65</v>
      </c>
      <c r="D69" s="43"/>
      <c r="E69" s="43">
        <v>611010</v>
      </c>
      <c r="F69" s="40">
        <v>2220</v>
      </c>
      <c r="G69" s="40">
        <v>1512</v>
      </c>
      <c r="H69" s="39" t="s">
        <v>524</v>
      </c>
      <c r="I69" s="39" t="s">
        <v>12</v>
      </c>
      <c r="J69" s="41">
        <v>1328</v>
      </c>
      <c r="K69" s="42">
        <v>0.73</v>
      </c>
      <c r="L69" s="42">
        <v>969.44</v>
      </c>
    </row>
    <row r="70" spans="1:12" ht="30">
      <c r="A70" s="40">
        <v>3</v>
      </c>
      <c r="B70" s="39" t="s">
        <v>502</v>
      </c>
      <c r="C70" s="43" t="s">
        <v>65</v>
      </c>
      <c r="D70" s="43"/>
      <c r="E70" s="43">
        <v>611010</v>
      </c>
      <c r="F70" s="40">
        <v>2220</v>
      </c>
      <c r="G70" s="40">
        <v>1512</v>
      </c>
      <c r="H70" s="39" t="s">
        <v>424</v>
      </c>
      <c r="I70" s="39" t="s">
        <v>12</v>
      </c>
      <c r="J70" s="41">
        <v>350</v>
      </c>
      <c r="K70" s="42">
        <v>6.8</v>
      </c>
      <c r="L70" s="42">
        <v>2380</v>
      </c>
    </row>
    <row r="71" spans="1:12" ht="30">
      <c r="A71" s="40">
        <v>4</v>
      </c>
      <c r="B71" s="39" t="s">
        <v>502</v>
      </c>
      <c r="C71" s="43" t="s">
        <v>65</v>
      </c>
      <c r="D71" s="43"/>
      <c r="E71" s="43">
        <v>611010</v>
      </c>
      <c r="F71" s="40">
        <v>2220</v>
      </c>
      <c r="G71" s="40">
        <v>1512</v>
      </c>
      <c r="H71" s="39" t="s">
        <v>523</v>
      </c>
      <c r="I71" s="39" t="s">
        <v>12</v>
      </c>
      <c r="J71" s="41">
        <v>5</v>
      </c>
      <c r="K71" s="42">
        <v>48</v>
      </c>
      <c r="L71" s="42">
        <v>240</v>
      </c>
    </row>
    <row r="72" spans="1:12">
      <c r="A72" s="45"/>
      <c r="B72" s="46"/>
      <c r="C72" s="47"/>
      <c r="D72" s="47"/>
      <c r="E72" s="47"/>
      <c r="F72" s="45"/>
      <c r="G72" s="45"/>
      <c r="H72" s="46" t="s">
        <v>14</v>
      </c>
      <c r="I72" s="46"/>
      <c r="J72" s="48"/>
      <c r="K72" s="49"/>
      <c r="L72" s="49">
        <f>SUM(L68:L71)</f>
        <v>18543.120000000003</v>
      </c>
    </row>
    <row r="73" spans="1:12" ht="45">
      <c r="A73" s="50">
        <v>1</v>
      </c>
      <c r="B73" s="51" t="s">
        <v>526</v>
      </c>
      <c r="C73" s="43" t="s">
        <v>115</v>
      </c>
      <c r="D73" s="43" t="s">
        <v>461</v>
      </c>
      <c r="E73" s="43">
        <v>611010</v>
      </c>
      <c r="F73" s="40">
        <v>2210</v>
      </c>
      <c r="G73" s="40" t="s">
        <v>11</v>
      </c>
      <c r="H73" s="43" t="s">
        <v>522</v>
      </c>
      <c r="I73" s="39" t="s">
        <v>12</v>
      </c>
      <c r="J73" s="41">
        <v>4</v>
      </c>
      <c r="K73" s="42">
        <v>4984</v>
      </c>
      <c r="L73" s="42">
        <v>19938.240000000002</v>
      </c>
    </row>
    <row r="74" spans="1:12" ht="30">
      <c r="A74" s="50">
        <v>2</v>
      </c>
      <c r="B74" s="51" t="s">
        <v>526</v>
      </c>
      <c r="C74" s="43" t="s">
        <v>65</v>
      </c>
      <c r="D74" s="43"/>
      <c r="E74" s="43">
        <v>611010</v>
      </c>
      <c r="F74" s="40">
        <v>2220</v>
      </c>
      <c r="G74" s="40">
        <v>1512</v>
      </c>
      <c r="H74" s="39" t="s">
        <v>524</v>
      </c>
      <c r="I74" s="39" t="s">
        <v>12</v>
      </c>
      <c r="J74" s="41">
        <v>1247</v>
      </c>
      <c r="K74" s="42">
        <v>0.73</v>
      </c>
      <c r="L74" s="42">
        <v>910.31</v>
      </c>
    </row>
    <row r="75" spans="1:12" ht="30">
      <c r="A75" s="50">
        <v>3</v>
      </c>
      <c r="B75" s="51" t="s">
        <v>526</v>
      </c>
      <c r="C75" s="43" t="s">
        <v>65</v>
      </c>
      <c r="D75" s="43"/>
      <c r="E75" s="43">
        <v>611010</v>
      </c>
      <c r="F75" s="40">
        <v>2220</v>
      </c>
      <c r="G75" s="40">
        <v>1512</v>
      </c>
      <c r="H75" s="39" t="s">
        <v>424</v>
      </c>
      <c r="I75" s="39" t="s">
        <v>12</v>
      </c>
      <c r="J75" s="41">
        <v>328</v>
      </c>
      <c r="K75" s="42">
        <v>6.8</v>
      </c>
      <c r="L75" s="42">
        <v>2230.4</v>
      </c>
    </row>
    <row r="76" spans="1:12" ht="30">
      <c r="A76" s="50">
        <v>4</v>
      </c>
      <c r="B76" s="51" t="s">
        <v>526</v>
      </c>
      <c r="C76" s="43" t="s">
        <v>65</v>
      </c>
      <c r="D76" s="43"/>
      <c r="E76" s="43">
        <v>611010</v>
      </c>
      <c r="F76" s="40">
        <v>2220</v>
      </c>
      <c r="G76" s="40">
        <v>1512</v>
      </c>
      <c r="H76" s="39" t="s">
        <v>523</v>
      </c>
      <c r="I76" s="39" t="s">
        <v>12</v>
      </c>
      <c r="J76" s="41">
        <v>5</v>
      </c>
      <c r="K76" s="42">
        <v>48</v>
      </c>
      <c r="L76" s="42">
        <v>240</v>
      </c>
    </row>
    <row r="77" spans="1:12">
      <c r="A77" s="45"/>
      <c r="B77" s="46"/>
      <c r="C77" s="47"/>
      <c r="D77" s="47"/>
      <c r="E77" s="47"/>
      <c r="F77" s="45"/>
      <c r="G77" s="45"/>
      <c r="H77" s="46"/>
      <c r="I77" s="46"/>
      <c r="J77" s="48"/>
      <c r="K77" s="49"/>
      <c r="L77" s="49">
        <f>SUM(L73:L76)</f>
        <v>23318.950000000004</v>
      </c>
    </row>
    <row r="78" spans="1:12" ht="45">
      <c r="A78" s="50">
        <v>1</v>
      </c>
      <c r="B78" s="51" t="s">
        <v>503</v>
      </c>
      <c r="C78" s="43" t="s">
        <v>115</v>
      </c>
      <c r="D78" s="43" t="s">
        <v>461</v>
      </c>
      <c r="E78" s="43">
        <v>611010</v>
      </c>
      <c r="F78" s="40">
        <v>2210</v>
      </c>
      <c r="G78" s="40" t="s">
        <v>11</v>
      </c>
      <c r="H78" s="43" t="s">
        <v>522</v>
      </c>
      <c r="I78" s="39" t="s">
        <v>12</v>
      </c>
      <c r="J78" s="41">
        <v>3</v>
      </c>
      <c r="K78" s="42">
        <v>4984</v>
      </c>
      <c r="L78" s="42">
        <v>14953.68</v>
      </c>
    </row>
    <row r="79" spans="1:12" ht="30">
      <c r="A79" s="50">
        <v>2</v>
      </c>
      <c r="B79" s="51" t="s">
        <v>503</v>
      </c>
      <c r="C79" s="43" t="s">
        <v>65</v>
      </c>
      <c r="D79" s="43"/>
      <c r="E79" s="43">
        <v>611010</v>
      </c>
      <c r="F79" s="40">
        <v>2220</v>
      </c>
      <c r="G79" s="40">
        <v>1512</v>
      </c>
      <c r="H79" s="39" t="s">
        <v>524</v>
      </c>
      <c r="I79" s="39" t="s">
        <v>12</v>
      </c>
      <c r="J79" s="41">
        <v>1165</v>
      </c>
      <c r="K79" s="42">
        <v>0.73</v>
      </c>
      <c r="L79" s="42">
        <v>850.45</v>
      </c>
    </row>
    <row r="80" spans="1:12" ht="30">
      <c r="A80" s="50">
        <v>3</v>
      </c>
      <c r="B80" s="51" t="s">
        <v>503</v>
      </c>
      <c r="C80" s="43" t="s">
        <v>65</v>
      </c>
      <c r="D80" s="43"/>
      <c r="E80" s="43">
        <v>611010</v>
      </c>
      <c r="F80" s="40">
        <v>2220</v>
      </c>
      <c r="G80" s="40">
        <v>1512</v>
      </c>
      <c r="H80" s="39" t="s">
        <v>424</v>
      </c>
      <c r="I80" s="39" t="s">
        <v>12</v>
      </c>
      <c r="J80" s="41">
        <v>307</v>
      </c>
      <c r="K80" s="42">
        <v>6.8</v>
      </c>
      <c r="L80" s="42">
        <v>2087.6</v>
      </c>
    </row>
    <row r="81" spans="1:12" ht="30">
      <c r="A81" s="50">
        <v>4</v>
      </c>
      <c r="B81" s="51" t="s">
        <v>503</v>
      </c>
      <c r="C81" s="43" t="s">
        <v>65</v>
      </c>
      <c r="D81" s="43"/>
      <c r="E81" s="43">
        <v>611010</v>
      </c>
      <c r="F81" s="40">
        <v>2220</v>
      </c>
      <c r="G81" s="40">
        <v>1512</v>
      </c>
      <c r="H81" s="39" t="s">
        <v>523</v>
      </c>
      <c r="I81" s="39" t="s">
        <v>12</v>
      </c>
      <c r="J81" s="41">
        <v>4</v>
      </c>
      <c r="K81" s="42">
        <v>48</v>
      </c>
      <c r="L81" s="42">
        <v>192</v>
      </c>
    </row>
    <row r="82" spans="1:12">
      <c r="A82" s="45"/>
      <c r="B82" s="46"/>
      <c r="C82" s="47"/>
      <c r="D82" s="47"/>
      <c r="E82" s="47"/>
      <c r="F82" s="45"/>
      <c r="G82" s="45"/>
      <c r="H82" s="46" t="s">
        <v>14</v>
      </c>
      <c r="I82" s="46"/>
      <c r="J82" s="48"/>
      <c r="K82" s="49"/>
      <c r="L82" s="49">
        <f>SUM(L78:L81)</f>
        <v>18083.73</v>
      </c>
    </row>
    <row r="83" spans="1:12" s="57" customFormat="1" ht="45">
      <c r="A83" s="50">
        <v>1</v>
      </c>
      <c r="B83" s="51" t="s">
        <v>504</v>
      </c>
      <c r="C83" s="43" t="s">
        <v>115</v>
      </c>
      <c r="D83" s="43" t="s">
        <v>461</v>
      </c>
      <c r="E83" s="43">
        <v>611010</v>
      </c>
      <c r="F83" s="40">
        <v>2210</v>
      </c>
      <c r="G83" s="40" t="s">
        <v>11</v>
      </c>
      <c r="H83" s="43" t="s">
        <v>522</v>
      </c>
      <c r="I83" s="39" t="s">
        <v>12</v>
      </c>
      <c r="J83" s="41">
        <v>3</v>
      </c>
      <c r="K83" s="42">
        <v>4984</v>
      </c>
      <c r="L83" s="42">
        <v>14953.68</v>
      </c>
    </row>
    <row r="84" spans="1:12" s="57" customFormat="1" ht="30">
      <c r="A84" s="50">
        <v>2</v>
      </c>
      <c r="B84" s="51" t="s">
        <v>504</v>
      </c>
      <c r="C84" s="43" t="s">
        <v>65</v>
      </c>
      <c r="D84" s="43"/>
      <c r="E84" s="43">
        <v>611010</v>
      </c>
      <c r="F84" s="40">
        <v>2220</v>
      </c>
      <c r="G84" s="40">
        <v>1512</v>
      </c>
      <c r="H84" s="39" t="s">
        <v>524</v>
      </c>
      <c r="I84" s="39" t="s">
        <v>12</v>
      </c>
      <c r="J84" s="41">
        <v>1301</v>
      </c>
      <c r="K84" s="42">
        <v>0.73</v>
      </c>
      <c r="L84" s="42">
        <v>949.73</v>
      </c>
    </row>
    <row r="85" spans="1:12" s="57" customFormat="1" ht="30">
      <c r="A85" s="50">
        <v>3</v>
      </c>
      <c r="B85" s="51" t="s">
        <v>504</v>
      </c>
      <c r="C85" s="43" t="s">
        <v>65</v>
      </c>
      <c r="D85" s="43"/>
      <c r="E85" s="43">
        <v>611010</v>
      </c>
      <c r="F85" s="40">
        <v>2220</v>
      </c>
      <c r="G85" s="40">
        <v>1512</v>
      </c>
      <c r="H85" s="39" t="s">
        <v>424</v>
      </c>
      <c r="I85" s="39" t="s">
        <v>12</v>
      </c>
      <c r="J85" s="41">
        <v>342</v>
      </c>
      <c r="K85" s="42">
        <v>6.8</v>
      </c>
      <c r="L85" s="42">
        <v>2325.6</v>
      </c>
    </row>
    <row r="86" spans="1:12" s="57" customFormat="1" ht="30">
      <c r="A86" s="50">
        <v>4</v>
      </c>
      <c r="B86" s="51" t="s">
        <v>504</v>
      </c>
      <c r="C86" s="43" t="s">
        <v>65</v>
      </c>
      <c r="D86" s="43"/>
      <c r="E86" s="43">
        <v>611010</v>
      </c>
      <c r="F86" s="40">
        <v>2220</v>
      </c>
      <c r="G86" s="40">
        <v>1512</v>
      </c>
      <c r="H86" s="39" t="s">
        <v>523</v>
      </c>
      <c r="I86" s="39" t="s">
        <v>12</v>
      </c>
      <c r="J86" s="41">
        <v>5</v>
      </c>
      <c r="K86" s="42">
        <v>48</v>
      </c>
      <c r="L86" s="42">
        <v>240</v>
      </c>
    </row>
    <row r="87" spans="1:12">
      <c r="A87" s="45"/>
      <c r="B87" s="46"/>
      <c r="C87" s="47"/>
      <c r="D87" s="47"/>
      <c r="E87" s="47"/>
      <c r="F87" s="45"/>
      <c r="G87" s="45"/>
      <c r="H87" s="46" t="s">
        <v>14</v>
      </c>
      <c r="I87" s="46"/>
      <c r="J87" s="48"/>
      <c r="K87" s="49"/>
      <c r="L87" s="49">
        <f>SUM(L83:L86)</f>
        <v>18469.009999999998</v>
      </c>
    </row>
    <row r="88" spans="1:12" ht="15.75">
      <c r="A88" s="59"/>
      <c r="B88" s="58"/>
      <c r="C88" s="58" t="s">
        <v>307</v>
      </c>
      <c r="D88" s="58"/>
      <c r="E88" s="58"/>
      <c r="F88" s="59"/>
      <c r="G88" s="59"/>
      <c r="H88" s="58"/>
      <c r="I88" s="58"/>
      <c r="J88" s="60"/>
      <c r="K88" s="61"/>
      <c r="L88" s="83">
        <f>L87+L82+L72+L67+L62+L57+L52+L47+L42+L37+L32+L27+L22+L7+L17+L77+L12</f>
        <v>305442.56000000006</v>
      </c>
    </row>
    <row r="90" spans="1:12" ht="18.75">
      <c r="B90" s="38" t="s">
        <v>77</v>
      </c>
      <c r="H90" s="103" t="s">
        <v>505</v>
      </c>
      <c r="I90" s="103"/>
      <c r="J90" s="104"/>
      <c r="K90" s="105"/>
      <c r="L90" s="106">
        <f>L88+'Травень КЗШ,ДЮСШ'!L55</f>
        <v>630807.52</v>
      </c>
    </row>
    <row r="91" spans="1:12">
      <c r="L91" s="44">
        <f>630807.52</f>
        <v>630807.52</v>
      </c>
    </row>
    <row r="92" spans="1:12">
      <c r="L92" s="44">
        <f>L90-L91</f>
        <v>0</v>
      </c>
    </row>
  </sheetData>
  <mergeCells count="1">
    <mergeCell ref="A1:L1"/>
  </mergeCells>
  <pageMargins left="0.27" right="0.16" top="0.2" bottom="0.2" header="0.2" footer="0.31496062992125984"/>
  <pageSetup paperSize="9" scale="73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17"/>
  <sheetViews>
    <sheetView view="pageBreakPreview" zoomScaleSheetLayoutView="100" workbookViewId="0">
      <pane ySplit="2" topLeftCell="A112" activePane="bottomLeft" state="frozen"/>
      <selection pane="bottomLeft" activeCell="H189" sqref="H189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19.28515625" style="38" customWidth="1"/>
    <col min="5" max="5" width="14.28515625" style="38" customWidth="1"/>
    <col min="6" max="6" width="10.28515625" style="62" hidden="1" customWidth="1"/>
    <col min="7" max="7" width="19.140625" style="62" customWidth="1"/>
    <col min="8" max="8" width="35.7109375" style="38" customWidth="1"/>
    <col min="9" max="9" width="11.85546875" style="38" customWidth="1"/>
    <col min="10" max="10" width="9.140625" style="64" customWidth="1"/>
    <col min="11" max="11" width="14.7109375" style="44" customWidth="1"/>
    <col min="12" max="12" width="13.85546875" style="44" customWidth="1"/>
    <col min="13" max="13" width="22.85546875" style="38" hidden="1" customWidth="1"/>
    <col min="14" max="14" width="20.7109375" style="38" customWidth="1"/>
    <col min="15" max="15" width="9.7109375" style="38" bestFit="1" customWidth="1"/>
    <col min="16" max="16384" width="9.140625" style="38"/>
  </cols>
  <sheetData>
    <row r="1" spans="1:14" ht="18.75">
      <c r="A1" s="179" t="s">
        <v>527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4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  <c r="M2" s="89" t="s">
        <v>67</v>
      </c>
    </row>
    <row r="3" spans="1:14">
      <c r="A3" s="40">
        <v>1</v>
      </c>
      <c r="B3" s="39" t="s">
        <v>68</v>
      </c>
      <c r="C3" s="120" t="s">
        <v>410</v>
      </c>
      <c r="D3" s="120" t="s">
        <v>532</v>
      </c>
      <c r="E3" s="121">
        <v>2230</v>
      </c>
      <c r="F3" s="40">
        <v>3110</v>
      </c>
      <c r="G3" s="40" t="s">
        <v>411</v>
      </c>
      <c r="H3" s="39" t="s">
        <v>533</v>
      </c>
      <c r="I3" s="39" t="s">
        <v>12</v>
      </c>
      <c r="J3" s="41">
        <v>10</v>
      </c>
      <c r="K3" s="42"/>
      <c r="L3" s="42">
        <v>800</v>
      </c>
      <c r="M3" s="42" t="s">
        <v>458</v>
      </c>
    </row>
    <row r="4" spans="1:14">
      <c r="A4" s="40">
        <v>2</v>
      </c>
      <c r="B4" s="39" t="s">
        <v>68</v>
      </c>
      <c r="C4" s="187" t="s">
        <v>534</v>
      </c>
      <c r="D4" s="187" t="s">
        <v>535</v>
      </c>
      <c r="E4" s="189">
        <v>2210</v>
      </c>
      <c r="F4" s="40">
        <v>2230</v>
      </c>
      <c r="G4" s="40" t="s">
        <v>11</v>
      </c>
      <c r="H4" s="191" t="s">
        <v>536</v>
      </c>
      <c r="I4" s="39" t="s">
        <v>12</v>
      </c>
      <c r="J4" s="185">
        <v>1</v>
      </c>
      <c r="K4" s="42"/>
      <c r="L4" s="42">
        <v>18422.2</v>
      </c>
      <c r="M4" s="39" t="s">
        <v>459</v>
      </c>
    </row>
    <row r="5" spans="1:14">
      <c r="A5" s="40">
        <v>3</v>
      </c>
      <c r="B5" s="39" t="s">
        <v>68</v>
      </c>
      <c r="C5" s="188"/>
      <c r="D5" s="188"/>
      <c r="E5" s="190"/>
      <c r="F5" s="40">
        <v>2210</v>
      </c>
      <c r="G5" s="40">
        <v>1113</v>
      </c>
      <c r="H5" s="192"/>
      <c r="I5" s="39" t="s">
        <v>12</v>
      </c>
      <c r="J5" s="186"/>
      <c r="K5" s="42"/>
      <c r="L5" s="42">
        <v>1747.94</v>
      </c>
      <c r="M5" s="39" t="s">
        <v>459</v>
      </c>
    </row>
    <row r="6" spans="1:14">
      <c r="A6" s="40">
        <v>4</v>
      </c>
      <c r="B6" s="39" t="s">
        <v>68</v>
      </c>
      <c r="C6" s="120" t="s">
        <v>534</v>
      </c>
      <c r="D6" s="120" t="s">
        <v>535</v>
      </c>
      <c r="E6" s="121">
        <v>2210</v>
      </c>
      <c r="F6" s="40">
        <v>2210</v>
      </c>
      <c r="G6" s="40">
        <v>1113</v>
      </c>
      <c r="H6" s="39" t="s">
        <v>537</v>
      </c>
      <c r="I6" s="39" t="s">
        <v>12</v>
      </c>
      <c r="J6" s="41">
        <v>2</v>
      </c>
      <c r="K6" s="42">
        <v>6900</v>
      </c>
      <c r="L6" s="42">
        <v>13800</v>
      </c>
      <c r="M6" s="39" t="s">
        <v>459</v>
      </c>
    </row>
    <row r="7" spans="1:14" ht="45">
      <c r="A7" s="40">
        <v>5</v>
      </c>
      <c r="B7" s="39" t="s">
        <v>68</v>
      </c>
      <c r="C7" s="120" t="s">
        <v>534</v>
      </c>
      <c r="D7" s="120" t="s">
        <v>538</v>
      </c>
      <c r="E7" s="121">
        <v>3110</v>
      </c>
      <c r="F7" s="40">
        <v>2210</v>
      </c>
      <c r="G7" s="40">
        <v>1014</v>
      </c>
      <c r="H7" s="39" t="s">
        <v>539</v>
      </c>
      <c r="I7" s="39" t="s">
        <v>12</v>
      </c>
      <c r="J7" s="41">
        <v>1</v>
      </c>
      <c r="K7" s="42">
        <v>62600</v>
      </c>
      <c r="L7" s="42">
        <v>62600</v>
      </c>
      <c r="M7" s="39" t="s">
        <v>459</v>
      </c>
    </row>
    <row r="8" spans="1:14" ht="45">
      <c r="A8" s="40">
        <v>6</v>
      </c>
      <c r="B8" s="39" t="s">
        <v>68</v>
      </c>
      <c r="C8" s="120" t="s">
        <v>535</v>
      </c>
      <c r="D8" s="120" t="s">
        <v>535</v>
      </c>
      <c r="E8" s="121">
        <v>2210</v>
      </c>
      <c r="F8" s="40">
        <v>2210</v>
      </c>
      <c r="G8" s="40" t="s">
        <v>11</v>
      </c>
      <c r="H8" s="43" t="s">
        <v>540</v>
      </c>
      <c r="I8" s="39" t="s">
        <v>12</v>
      </c>
      <c r="J8" s="53">
        <v>70</v>
      </c>
      <c r="K8" s="52"/>
      <c r="L8" s="52">
        <v>13941</v>
      </c>
      <c r="M8" s="39" t="s">
        <v>459</v>
      </c>
    </row>
    <row r="9" spans="1:14" hidden="1">
      <c r="A9" s="40">
        <v>7</v>
      </c>
      <c r="B9" s="39" t="s">
        <v>68</v>
      </c>
      <c r="C9" s="43"/>
      <c r="D9" s="43"/>
      <c r="E9" s="43"/>
      <c r="F9" s="40">
        <v>2210</v>
      </c>
      <c r="G9" s="40"/>
      <c r="H9" s="39"/>
      <c r="I9" s="39" t="s">
        <v>12</v>
      </c>
      <c r="J9" s="53"/>
      <c r="K9" s="52"/>
      <c r="L9" s="52"/>
      <c r="M9" s="39" t="s">
        <v>459</v>
      </c>
    </row>
    <row r="10" spans="1:14" hidden="1">
      <c r="A10" s="40">
        <v>8</v>
      </c>
      <c r="B10" s="39" t="s">
        <v>68</v>
      </c>
      <c r="C10" s="43"/>
      <c r="D10" s="43"/>
      <c r="E10" s="43"/>
      <c r="F10" s="40">
        <v>2210</v>
      </c>
      <c r="G10" s="40"/>
      <c r="H10" s="39"/>
      <c r="I10" s="39" t="s">
        <v>12</v>
      </c>
      <c r="J10" s="53"/>
      <c r="K10" s="52"/>
      <c r="L10" s="52"/>
      <c r="M10" s="39" t="s">
        <v>459</v>
      </c>
    </row>
    <row r="11" spans="1:14" hidden="1">
      <c r="A11" s="40">
        <v>9</v>
      </c>
      <c r="B11" s="39" t="s">
        <v>68</v>
      </c>
      <c r="C11" s="43"/>
      <c r="D11" s="43"/>
      <c r="E11" s="43"/>
      <c r="F11" s="40">
        <v>2210</v>
      </c>
      <c r="G11" s="40"/>
      <c r="H11" s="39"/>
      <c r="I11" s="39" t="s">
        <v>12</v>
      </c>
      <c r="J11" s="53"/>
      <c r="K11" s="52"/>
      <c r="L11" s="52"/>
      <c r="M11" s="39" t="s">
        <v>459</v>
      </c>
    </row>
    <row r="12" spans="1:14" hidden="1">
      <c r="A12" s="40">
        <v>10</v>
      </c>
      <c r="B12" s="39" t="s">
        <v>68</v>
      </c>
      <c r="C12" s="43"/>
      <c r="D12" s="43"/>
      <c r="E12" s="43"/>
      <c r="F12" s="40">
        <v>2210</v>
      </c>
      <c r="G12" s="40"/>
      <c r="H12" s="39"/>
      <c r="I12" s="39" t="s">
        <v>12</v>
      </c>
      <c r="J12" s="53"/>
      <c r="K12" s="52"/>
      <c r="L12" s="52"/>
      <c r="M12" s="39" t="s">
        <v>459</v>
      </c>
    </row>
    <row r="13" spans="1:14" hidden="1">
      <c r="A13" s="40">
        <v>11</v>
      </c>
      <c r="B13" s="39" t="s">
        <v>68</v>
      </c>
      <c r="C13" s="43"/>
      <c r="D13" s="43"/>
      <c r="E13" s="43"/>
      <c r="F13" s="40">
        <v>2210</v>
      </c>
      <c r="G13" s="40"/>
      <c r="H13" s="39"/>
      <c r="I13" s="39" t="s">
        <v>12</v>
      </c>
      <c r="J13" s="53"/>
      <c r="K13" s="52"/>
      <c r="L13" s="52"/>
      <c r="M13" s="39" t="s">
        <v>459</v>
      </c>
      <c r="N13" s="44"/>
    </row>
    <row r="14" spans="1:14" hidden="1">
      <c r="A14" s="40">
        <v>12</v>
      </c>
      <c r="B14" s="39" t="s">
        <v>68</v>
      </c>
      <c r="C14" s="43"/>
      <c r="D14" s="43"/>
      <c r="E14" s="43"/>
      <c r="F14" s="40">
        <v>2210</v>
      </c>
      <c r="G14" s="40"/>
      <c r="H14" s="39"/>
      <c r="I14" s="39" t="s">
        <v>12</v>
      </c>
      <c r="J14" s="53"/>
      <c r="K14" s="52"/>
      <c r="L14" s="52"/>
      <c r="M14" s="39" t="s">
        <v>459</v>
      </c>
      <c r="N14" s="44"/>
    </row>
    <row r="15" spans="1:14" hidden="1">
      <c r="A15" s="40">
        <v>13</v>
      </c>
      <c r="B15" s="39" t="s">
        <v>68</v>
      </c>
      <c r="C15" s="43"/>
      <c r="D15" s="43"/>
      <c r="E15" s="43"/>
      <c r="F15" s="40">
        <v>2210</v>
      </c>
      <c r="G15" s="40"/>
      <c r="H15" s="39"/>
      <c r="I15" s="39" t="s">
        <v>12</v>
      </c>
      <c r="J15" s="53"/>
      <c r="K15" s="52"/>
      <c r="L15" s="52"/>
      <c r="M15" s="39" t="s">
        <v>459</v>
      </c>
      <c r="N15" s="44"/>
    </row>
    <row r="16" spans="1:14" hidden="1">
      <c r="A16" s="40">
        <v>14</v>
      </c>
      <c r="B16" s="39" t="s">
        <v>68</v>
      </c>
      <c r="C16" s="43"/>
      <c r="D16" s="43"/>
      <c r="E16" s="43"/>
      <c r="F16" s="40">
        <v>2210</v>
      </c>
      <c r="G16" s="40"/>
      <c r="H16" s="39"/>
      <c r="I16" s="39" t="s">
        <v>12</v>
      </c>
      <c r="J16" s="53"/>
      <c r="K16" s="52"/>
      <c r="L16" s="52"/>
      <c r="M16" s="39" t="s">
        <v>459</v>
      </c>
      <c r="N16" s="44"/>
    </row>
    <row r="17" spans="1:14" hidden="1">
      <c r="A17" s="40">
        <v>15</v>
      </c>
      <c r="B17" s="39" t="s">
        <v>68</v>
      </c>
      <c r="C17" s="43"/>
      <c r="D17" s="43"/>
      <c r="E17" s="43"/>
      <c r="F17" s="40">
        <v>2210</v>
      </c>
      <c r="G17" s="40"/>
      <c r="H17" s="39"/>
      <c r="I17" s="39" t="s">
        <v>12</v>
      </c>
      <c r="J17" s="53"/>
      <c r="K17" s="52"/>
      <c r="L17" s="52"/>
      <c r="M17" s="39" t="s">
        <v>459</v>
      </c>
      <c r="N17" s="44"/>
    </row>
    <row r="18" spans="1:14" hidden="1">
      <c r="A18" s="40">
        <v>16</v>
      </c>
      <c r="B18" s="39" t="s">
        <v>68</v>
      </c>
      <c r="C18" s="43"/>
      <c r="D18" s="43"/>
      <c r="E18" s="43"/>
      <c r="F18" s="40">
        <v>2210</v>
      </c>
      <c r="G18" s="40"/>
      <c r="H18" s="39"/>
      <c r="I18" s="39" t="s">
        <v>12</v>
      </c>
      <c r="J18" s="53"/>
      <c r="K18" s="52"/>
      <c r="L18" s="52"/>
      <c r="M18" s="39" t="s">
        <v>459</v>
      </c>
      <c r="N18" s="44"/>
    </row>
    <row r="19" spans="1:14" hidden="1">
      <c r="A19" s="40">
        <v>17</v>
      </c>
      <c r="B19" s="39" t="s">
        <v>68</v>
      </c>
      <c r="C19" s="43"/>
      <c r="D19" s="43"/>
      <c r="E19" s="43"/>
      <c r="F19" s="40">
        <v>2210</v>
      </c>
      <c r="G19" s="40"/>
      <c r="H19" s="39"/>
      <c r="I19" s="39" t="s">
        <v>12</v>
      </c>
      <c r="J19" s="53"/>
      <c r="K19" s="52"/>
      <c r="L19" s="52"/>
      <c r="M19" s="39" t="s">
        <v>459</v>
      </c>
      <c r="N19" s="44"/>
    </row>
    <row r="20" spans="1:14" hidden="1">
      <c r="A20" s="40">
        <v>18</v>
      </c>
      <c r="B20" s="39" t="s">
        <v>68</v>
      </c>
      <c r="C20" s="43"/>
      <c r="D20" s="43"/>
      <c r="E20" s="43"/>
      <c r="F20" s="40">
        <v>2210</v>
      </c>
      <c r="G20" s="40"/>
      <c r="H20" s="39"/>
      <c r="I20" s="39" t="s">
        <v>12</v>
      </c>
      <c r="J20" s="53"/>
      <c r="K20" s="52"/>
      <c r="L20" s="52"/>
      <c r="M20" s="39" t="s">
        <v>459</v>
      </c>
      <c r="N20" s="44"/>
    </row>
    <row r="21" spans="1:14" hidden="1">
      <c r="A21" s="40">
        <v>19</v>
      </c>
      <c r="B21" s="39" t="s">
        <v>68</v>
      </c>
      <c r="C21" s="43"/>
      <c r="D21" s="43"/>
      <c r="E21" s="43"/>
      <c r="F21" s="40">
        <v>2210</v>
      </c>
      <c r="G21" s="40"/>
      <c r="H21" s="39"/>
      <c r="I21" s="39" t="s">
        <v>12</v>
      </c>
      <c r="J21" s="53"/>
      <c r="K21" s="52"/>
      <c r="L21" s="52"/>
      <c r="M21" s="39" t="s">
        <v>459</v>
      </c>
      <c r="N21" s="44"/>
    </row>
    <row r="22" spans="1:14" hidden="1">
      <c r="A22" s="40">
        <v>20</v>
      </c>
      <c r="B22" s="39" t="s">
        <v>68</v>
      </c>
      <c r="C22" s="43"/>
      <c r="D22" s="43"/>
      <c r="E22" s="43"/>
      <c r="F22" s="40">
        <v>2210</v>
      </c>
      <c r="G22" s="40"/>
      <c r="H22" s="39"/>
      <c r="I22" s="39" t="s">
        <v>12</v>
      </c>
      <c r="J22" s="53"/>
      <c r="K22" s="52"/>
      <c r="L22" s="52"/>
      <c r="M22" s="39" t="s">
        <v>459</v>
      </c>
      <c r="N22" s="44"/>
    </row>
    <row r="23" spans="1:14" hidden="1">
      <c r="A23" s="40">
        <v>21</v>
      </c>
      <c r="B23" s="39" t="s">
        <v>68</v>
      </c>
      <c r="C23" s="43"/>
      <c r="D23" s="43"/>
      <c r="E23" s="43"/>
      <c r="F23" s="40">
        <v>2210</v>
      </c>
      <c r="G23" s="40"/>
      <c r="H23" s="39"/>
      <c r="I23" s="39" t="s">
        <v>12</v>
      </c>
      <c r="J23" s="53"/>
      <c r="K23" s="52"/>
      <c r="L23" s="52"/>
      <c r="M23" s="39" t="s">
        <v>459</v>
      </c>
      <c r="N23" s="44"/>
    </row>
    <row r="24" spans="1:14" hidden="1">
      <c r="A24" s="40">
        <v>22</v>
      </c>
      <c r="B24" s="39" t="s">
        <v>68</v>
      </c>
      <c r="C24" s="43"/>
      <c r="D24" s="43"/>
      <c r="E24" s="43"/>
      <c r="F24" s="40">
        <v>2210</v>
      </c>
      <c r="G24" s="40"/>
      <c r="H24" s="39"/>
      <c r="I24" s="39" t="s">
        <v>12</v>
      </c>
      <c r="J24" s="53"/>
      <c r="K24" s="52"/>
      <c r="L24" s="52"/>
      <c r="M24" s="39" t="s">
        <v>459</v>
      </c>
      <c r="N24" s="44"/>
    </row>
    <row r="25" spans="1:14" hidden="1">
      <c r="A25" s="40">
        <v>23</v>
      </c>
      <c r="B25" s="39" t="s">
        <v>68</v>
      </c>
      <c r="C25" s="43"/>
      <c r="D25" s="43"/>
      <c r="E25" s="43"/>
      <c r="F25" s="40">
        <v>2210</v>
      </c>
      <c r="G25" s="40"/>
      <c r="H25" s="39"/>
      <c r="I25" s="39" t="s">
        <v>12</v>
      </c>
      <c r="J25" s="53"/>
      <c r="K25" s="52"/>
      <c r="L25" s="52"/>
      <c r="M25" s="39" t="s">
        <v>459</v>
      </c>
      <c r="N25" s="44"/>
    </row>
    <row r="26" spans="1:14" hidden="1">
      <c r="A26" s="40">
        <v>24</v>
      </c>
      <c r="B26" s="39" t="s">
        <v>68</v>
      </c>
      <c r="C26" s="43"/>
      <c r="D26" s="43"/>
      <c r="E26" s="43"/>
      <c r="F26" s="40">
        <v>2210</v>
      </c>
      <c r="G26" s="40"/>
      <c r="H26" s="39"/>
      <c r="I26" s="39" t="s">
        <v>12</v>
      </c>
      <c r="J26" s="53"/>
      <c r="K26" s="52"/>
      <c r="L26" s="52"/>
      <c r="M26" s="39" t="s">
        <v>459</v>
      </c>
      <c r="N26" s="44"/>
    </row>
    <row r="27" spans="1:14" hidden="1">
      <c r="A27" s="40">
        <v>25</v>
      </c>
      <c r="B27" s="39" t="s">
        <v>68</v>
      </c>
      <c r="C27" s="43"/>
      <c r="D27" s="43"/>
      <c r="E27" s="43"/>
      <c r="F27" s="40">
        <v>2210</v>
      </c>
      <c r="G27" s="40"/>
      <c r="H27" s="39"/>
      <c r="I27" s="39" t="s">
        <v>12</v>
      </c>
      <c r="J27" s="53"/>
      <c r="K27" s="52"/>
      <c r="L27" s="52"/>
      <c r="M27" s="39" t="s">
        <v>459</v>
      </c>
      <c r="N27" s="44"/>
    </row>
    <row r="28" spans="1:14" hidden="1">
      <c r="A28" s="40">
        <v>26</v>
      </c>
      <c r="B28" s="39" t="s">
        <v>68</v>
      </c>
      <c r="C28" s="43"/>
      <c r="D28" s="43"/>
      <c r="E28" s="43"/>
      <c r="F28" s="40">
        <v>2210</v>
      </c>
      <c r="G28" s="40"/>
      <c r="H28" s="39"/>
      <c r="I28" s="39" t="s">
        <v>12</v>
      </c>
      <c r="J28" s="53"/>
      <c r="K28" s="52"/>
      <c r="L28" s="52"/>
      <c r="M28" s="39" t="s">
        <v>459</v>
      </c>
      <c r="N28" s="44"/>
    </row>
    <row r="29" spans="1:14" hidden="1">
      <c r="A29" s="40">
        <v>27</v>
      </c>
      <c r="B29" s="39" t="s">
        <v>68</v>
      </c>
      <c r="C29" s="43"/>
      <c r="D29" s="43"/>
      <c r="E29" s="43"/>
      <c r="F29" s="40">
        <v>2210</v>
      </c>
      <c r="G29" s="40"/>
      <c r="H29" s="39"/>
      <c r="I29" s="39" t="s">
        <v>12</v>
      </c>
      <c r="J29" s="53"/>
      <c r="K29" s="52"/>
      <c r="L29" s="52"/>
      <c r="M29" s="39" t="s">
        <v>459</v>
      </c>
      <c r="N29" s="44"/>
    </row>
    <row r="30" spans="1:14" hidden="1">
      <c r="A30" s="40">
        <v>28</v>
      </c>
      <c r="B30" s="39" t="s">
        <v>68</v>
      </c>
      <c r="C30" s="43"/>
      <c r="D30" s="43"/>
      <c r="E30" s="43"/>
      <c r="F30" s="40">
        <v>2210</v>
      </c>
      <c r="G30" s="40"/>
      <c r="H30" s="39"/>
      <c r="I30" s="39" t="s">
        <v>12</v>
      </c>
      <c r="J30" s="53"/>
      <c r="K30" s="52"/>
      <c r="L30" s="52"/>
      <c r="M30" s="39" t="s">
        <v>459</v>
      </c>
      <c r="N30" s="44"/>
    </row>
    <row r="31" spans="1:14" hidden="1">
      <c r="A31" s="40">
        <v>29</v>
      </c>
      <c r="B31" s="39" t="s">
        <v>68</v>
      </c>
      <c r="C31" s="43"/>
      <c r="D31" s="43"/>
      <c r="E31" s="43"/>
      <c r="F31" s="40">
        <v>2210</v>
      </c>
      <c r="G31" s="40"/>
      <c r="H31" s="39"/>
      <c r="I31" s="39" t="s">
        <v>12</v>
      </c>
      <c r="J31" s="53"/>
      <c r="K31" s="52"/>
      <c r="L31" s="52"/>
      <c r="M31" s="39" t="s">
        <v>459</v>
      </c>
      <c r="N31" s="44"/>
    </row>
    <row r="32" spans="1:14" hidden="1">
      <c r="A32" s="40">
        <v>30</v>
      </c>
      <c r="B32" s="39" t="s">
        <v>68</v>
      </c>
      <c r="C32" s="43"/>
      <c r="D32" s="43"/>
      <c r="E32" s="43"/>
      <c r="F32" s="40">
        <v>2210</v>
      </c>
      <c r="G32" s="40"/>
      <c r="H32" s="39"/>
      <c r="I32" s="39" t="s">
        <v>12</v>
      </c>
      <c r="J32" s="53"/>
      <c r="K32" s="52"/>
      <c r="L32" s="52"/>
      <c r="M32" s="39" t="s">
        <v>459</v>
      </c>
      <c r="N32" s="44"/>
    </row>
    <row r="33" spans="1:17" hidden="1">
      <c r="A33" s="40">
        <v>31</v>
      </c>
      <c r="B33" s="39" t="s">
        <v>68</v>
      </c>
      <c r="C33" s="43"/>
      <c r="D33" s="43"/>
      <c r="E33" s="43"/>
      <c r="F33" s="40">
        <v>2210</v>
      </c>
      <c r="G33" s="40"/>
      <c r="H33" s="39"/>
      <c r="I33" s="39" t="s">
        <v>12</v>
      </c>
      <c r="J33" s="53"/>
      <c r="K33" s="52"/>
      <c r="L33" s="52"/>
      <c r="M33" s="39" t="s">
        <v>459</v>
      </c>
      <c r="N33" s="44"/>
    </row>
    <row r="34" spans="1:17" hidden="1">
      <c r="A34" s="40">
        <v>32</v>
      </c>
      <c r="B34" s="39" t="s">
        <v>68</v>
      </c>
      <c r="C34" s="43"/>
      <c r="D34" s="43"/>
      <c r="E34" s="43"/>
      <c r="F34" s="40">
        <v>2210</v>
      </c>
      <c r="G34" s="40"/>
      <c r="H34" s="39"/>
      <c r="I34" s="39" t="s">
        <v>12</v>
      </c>
      <c r="J34" s="53"/>
      <c r="K34" s="52"/>
      <c r="L34" s="52"/>
      <c r="M34" s="39" t="s">
        <v>459</v>
      </c>
      <c r="N34" s="44"/>
    </row>
    <row r="35" spans="1:17" hidden="1">
      <c r="A35" s="40">
        <v>33</v>
      </c>
      <c r="B35" s="39" t="s">
        <v>68</v>
      </c>
      <c r="C35" s="43"/>
      <c r="D35" s="43"/>
      <c r="E35" s="43"/>
      <c r="F35" s="40">
        <v>2210</v>
      </c>
      <c r="G35" s="40"/>
      <c r="H35" s="39"/>
      <c r="I35" s="39" t="s">
        <v>12</v>
      </c>
      <c r="J35" s="53"/>
      <c r="K35" s="52"/>
      <c r="L35" s="52"/>
      <c r="M35" s="39" t="s">
        <v>459</v>
      </c>
    </row>
    <row r="36" spans="1:17" hidden="1">
      <c r="A36" s="40">
        <v>34</v>
      </c>
      <c r="B36" s="39" t="s">
        <v>68</v>
      </c>
      <c r="C36" s="43"/>
      <c r="D36" s="43"/>
      <c r="E36" s="43"/>
      <c r="F36" s="40">
        <v>2210</v>
      </c>
      <c r="G36" s="40"/>
      <c r="H36" s="39"/>
      <c r="I36" s="39" t="s">
        <v>12</v>
      </c>
      <c r="J36" s="53"/>
      <c r="K36" s="52"/>
      <c r="L36" s="52"/>
      <c r="M36" s="39" t="s">
        <v>459</v>
      </c>
      <c r="Q36" s="40"/>
    </row>
    <row r="37" spans="1:17" hidden="1">
      <c r="A37" s="40">
        <v>35</v>
      </c>
      <c r="B37" s="39" t="s">
        <v>68</v>
      </c>
      <c r="C37" s="43"/>
      <c r="D37" s="43"/>
      <c r="E37" s="43"/>
      <c r="F37" s="40">
        <v>2210</v>
      </c>
      <c r="G37" s="40"/>
      <c r="H37" s="39"/>
      <c r="I37" s="39" t="s">
        <v>12</v>
      </c>
      <c r="J37" s="53"/>
      <c r="K37" s="52"/>
      <c r="L37" s="52"/>
      <c r="M37" s="39" t="s">
        <v>459</v>
      </c>
    </row>
    <row r="38" spans="1:17" hidden="1">
      <c r="A38" s="40">
        <v>36</v>
      </c>
      <c r="B38" s="39" t="s">
        <v>68</v>
      </c>
      <c r="C38" s="43"/>
      <c r="D38" s="43"/>
      <c r="E38" s="43"/>
      <c r="F38" s="40">
        <v>2210</v>
      </c>
      <c r="G38" s="40"/>
      <c r="H38" s="39"/>
      <c r="I38" s="39" t="s">
        <v>21</v>
      </c>
      <c r="J38" s="53"/>
      <c r="K38" s="52"/>
      <c r="L38" s="52"/>
      <c r="M38" s="39" t="s">
        <v>459</v>
      </c>
    </row>
    <row r="39" spans="1:17" hidden="1">
      <c r="A39" s="40">
        <v>37</v>
      </c>
      <c r="B39" s="39" t="s">
        <v>68</v>
      </c>
      <c r="C39" s="43"/>
      <c r="D39" s="43"/>
      <c r="E39" s="43"/>
      <c r="F39" s="40">
        <v>2210</v>
      </c>
      <c r="G39" s="40"/>
      <c r="H39" s="39"/>
      <c r="I39" s="39" t="s">
        <v>23</v>
      </c>
      <c r="J39" s="53"/>
      <c r="K39" s="52"/>
      <c r="L39" s="52"/>
      <c r="M39" s="39" t="s">
        <v>459</v>
      </c>
    </row>
    <row r="40" spans="1:17" hidden="1">
      <c r="A40" s="40">
        <v>38</v>
      </c>
      <c r="B40" s="39" t="s">
        <v>68</v>
      </c>
      <c r="C40" s="43"/>
      <c r="D40" s="43"/>
      <c r="E40" s="43"/>
      <c r="F40" s="40">
        <v>2210</v>
      </c>
      <c r="G40" s="40"/>
      <c r="H40" s="39"/>
      <c r="I40" s="39" t="s">
        <v>21</v>
      </c>
      <c r="J40" s="53"/>
      <c r="K40" s="52"/>
      <c r="L40" s="52"/>
      <c r="M40" s="39" t="s">
        <v>459</v>
      </c>
    </row>
    <row r="41" spans="1:17" hidden="1">
      <c r="A41" s="40">
        <v>39</v>
      </c>
      <c r="B41" s="39" t="s">
        <v>68</v>
      </c>
      <c r="C41" s="43"/>
      <c r="D41" s="43"/>
      <c r="E41" s="43"/>
      <c r="F41" s="40">
        <v>2210</v>
      </c>
      <c r="G41" s="40"/>
      <c r="H41" s="39"/>
      <c r="I41" s="39" t="s">
        <v>12</v>
      </c>
      <c r="J41" s="53"/>
      <c r="K41" s="52"/>
      <c r="L41" s="52"/>
      <c r="M41" s="39" t="s">
        <v>459</v>
      </c>
    </row>
    <row r="42" spans="1:17" hidden="1">
      <c r="A42" s="40">
        <v>40</v>
      </c>
      <c r="B42" s="39" t="s">
        <v>68</v>
      </c>
      <c r="C42" s="43"/>
      <c r="D42" s="43"/>
      <c r="E42" s="43"/>
      <c r="F42" s="40">
        <v>2210</v>
      </c>
      <c r="G42" s="40"/>
      <c r="H42" s="39"/>
      <c r="I42" s="39" t="s">
        <v>12</v>
      </c>
      <c r="J42" s="53"/>
      <c r="K42" s="52"/>
      <c r="L42" s="52"/>
      <c r="M42" s="39" t="s">
        <v>459</v>
      </c>
    </row>
    <row r="43" spans="1:17" hidden="1">
      <c r="A43" s="40">
        <v>41</v>
      </c>
      <c r="B43" s="39" t="s">
        <v>68</v>
      </c>
      <c r="C43" s="43"/>
      <c r="D43" s="43"/>
      <c r="E43" s="43"/>
      <c r="F43" s="40">
        <v>2210</v>
      </c>
      <c r="G43" s="40"/>
      <c r="H43" s="39"/>
      <c r="I43" s="39" t="s">
        <v>21</v>
      </c>
      <c r="J43" s="53"/>
      <c r="K43" s="52"/>
      <c r="L43" s="52"/>
      <c r="M43" s="39" t="s">
        <v>459</v>
      </c>
    </row>
    <row r="44" spans="1:17" hidden="1">
      <c r="A44" s="40">
        <v>42</v>
      </c>
      <c r="B44" s="39" t="s">
        <v>68</v>
      </c>
      <c r="C44" s="43"/>
      <c r="D44" s="43"/>
      <c r="E44" s="43"/>
      <c r="F44" s="40">
        <v>2210</v>
      </c>
      <c r="G44" s="40"/>
      <c r="H44" s="39"/>
      <c r="I44" s="39" t="s">
        <v>12</v>
      </c>
      <c r="J44" s="53"/>
      <c r="K44" s="52"/>
      <c r="L44" s="52"/>
      <c r="M44" s="39" t="s">
        <v>459</v>
      </c>
    </row>
    <row r="45" spans="1:17" hidden="1">
      <c r="A45" s="40">
        <v>43</v>
      </c>
      <c r="B45" s="39" t="s">
        <v>68</v>
      </c>
      <c r="C45" s="43"/>
      <c r="D45" s="43"/>
      <c r="E45" s="43"/>
      <c r="F45" s="40">
        <v>2210</v>
      </c>
      <c r="G45" s="40"/>
      <c r="H45" s="39"/>
      <c r="I45" s="39" t="s">
        <v>12</v>
      </c>
      <c r="J45" s="53"/>
      <c r="K45" s="52"/>
      <c r="L45" s="52"/>
      <c r="M45" s="39" t="s">
        <v>459</v>
      </c>
    </row>
    <row r="46" spans="1:17" hidden="1">
      <c r="A46" s="40">
        <v>44</v>
      </c>
      <c r="B46" s="39" t="s">
        <v>68</v>
      </c>
      <c r="C46" s="43"/>
      <c r="D46" s="43"/>
      <c r="E46" s="43"/>
      <c r="F46" s="40">
        <v>2210</v>
      </c>
      <c r="G46" s="40"/>
      <c r="H46" s="39"/>
      <c r="I46" s="39" t="s">
        <v>12</v>
      </c>
      <c r="J46" s="53"/>
      <c r="K46" s="52"/>
      <c r="L46" s="52"/>
      <c r="M46" s="39" t="s">
        <v>459</v>
      </c>
    </row>
    <row r="47" spans="1:17" hidden="1">
      <c r="A47" s="40">
        <v>45</v>
      </c>
      <c r="B47" s="39" t="s">
        <v>68</v>
      </c>
      <c r="C47" s="43"/>
      <c r="D47" s="43"/>
      <c r="E47" s="43"/>
      <c r="F47" s="40">
        <v>2210</v>
      </c>
      <c r="G47" s="40"/>
      <c r="H47" s="39"/>
      <c r="I47" s="39" t="s">
        <v>21</v>
      </c>
      <c r="J47" s="53"/>
      <c r="K47" s="52"/>
      <c r="L47" s="52"/>
      <c r="M47" s="39" t="s">
        <v>459</v>
      </c>
    </row>
    <row r="48" spans="1:17" hidden="1">
      <c r="A48" s="40">
        <v>46</v>
      </c>
      <c r="B48" s="39" t="s">
        <v>68</v>
      </c>
      <c r="C48" s="43"/>
      <c r="D48" s="43"/>
      <c r="E48" s="43"/>
      <c r="F48" s="40">
        <v>2210</v>
      </c>
      <c r="G48" s="40"/>
      <c r="H48" s="39"/>
      <c r="I48" s="39" t="s">
        <v>12</v>
      </c>
      <c r="J48" s="53"/>
      <c r="K48" s="52"/>
      <c r="L48" s="52"/>
      <c r="M48" s="39" t="s">
        <v>459</v>
      </c>
    </row>
    <row r="49" spans="1:13" hidden="1">
      <c r="A49" s="40">
        <v>47</v>
      </c>
      <c r="B49" s="39" t="s">
        <v>68</v>
      </c>
      <c r="C49" s="43"/>
      <c r="D49" s="43"/>
      <c r="E49" s="43"/>
      <c r="F49" s="40">
        <v>2210</v>
      </c>
      <c r="G49" s="40"/>
      <c r="H49" s="39"/>
      <c r="I49" s="39" t="s">
        <v>21</v>
      </c>
      <c r="J49" s="53"/>
      <c r="K49" s="52"/>
      <c r="L49" s="52"/>
      <c r="M49" s="39" t="s">
        <v>459</v>
      </c>
    </row>
    <row r="50" spans="1:13" hidden="1">
      <c r="A50" s="40">
        <v>48</v>
      </c>
      <c r="B50" s="39" t="s">
        <v>68</v>
      </c>
      <c r="C50" s="43"/>
      <c r="D50" s="43"/>
      <c r="E50" s="43"/>
      <c r="F50" s="40">
        <v>2210</v>
      </c>
      <c r="G50" s="40"/>
      <c r="H50" s="39"/>
      <c r="I50" s="39" t="s">
        <v>12</v>
      </c>
      <c r="J50" s="53"/>
      <c r="K50" s="52"/>
      <c r="L50" s="52"/>
      <c r="M50" s="39" t="s">
        <v>459</v>
      </c>
    </row>
    <row r="51" spans="1:13" hidden="1">
      <c r="A51" s="40">
        <v>49</v>
      </c>
      <c r="B51" s="39" t="s">
        <v>68</v>
      </c>
      <c r="C51" s="43"/>
      <c r="D51" s="43"/>
      <c r="E51" s="43"/>
      <c r="F51" s="40">
        <v>2210</v>
      </c>
      <c r="G51" s="40"/>
      <c r="H51" s="39"/>
      <c r="I51" s="39" t="s">
        <v>21</v>
      </c>
      <c r="J51" s="53"/>
      <c r="K51" s="52"/>
      <c r="L51" s="52"/>
      <c r="M51" s="39" t="s">
        <v>459</v>
      </c>
    </row>
    <row r="52" spans="1:13" hidden="1">
      <c r="A52" s="40">
        <v>50</v>
      </c>
      <c r="B52" s="39" t="s">
        <v>68</v>
      </c>
      <c r="C52" s="43"/>
      <c r="D52" s="43"/>
      <c r="E52" s="43"/>
      <c r="F52" s="40">
        <v>2210</v>
      </c>
      <c r="G52" s="40"/>
      <c r="H52" s="39"/>
      <c r="I52" s="39" t="s">
        <v>23</v>
      </c>
      <c r="J52" s="53"/>
      <c r="K52" s="52"/>
      <c r="L52" s="52"/>
      <c r="M52" s="39" t="s">
        <v>459</v>
      </c>
    </row>
    <row r="53" spans="1:13" hidden="1">
      <c r="A53" s="40">
        <v>51</v>
      </c>
      <c r="B53" s="39" t="s">
        <v>68</v>
      </c>
      <c r="C53" s="43"/>
      <c r="D53" s="43"/>
      <c r="E53" s="43"/>
      <c r="F53" s="40">
        <v>2210</v>
      </c>
      <c r="G53" s="40"/>
      <c r="H53" s="39"/>
      <c r="I53" s="39" t="s">
        <v>12</v>
      </c>
      <c r="J53" s="53"/>
      <c r="K53" s="52"/>
      <c r="L53" s="52"/>
      <c r="M53" s="39" t="s">
        <v>459</v>
      </c>
    </row>
    <row r="54" spans="1:13" hidden="1">
      <c r="A54" s="40">
        <v>52</v>
      </c>
      <c r="B54" s="39" t="s">
        <v>68</v>
      </c>
      <c r="C54" s="43"/>
      <c r="D54" s="43"/>
      <c r="E54" s="43"/>
      <c r="F54" s="40">
        <v>2210</v>
      </c>
      <c r="G54" s="40"/>
      <c r="H54" s="39"/>
      <c r="I54" s="39" t="s">
        <v>21</v>
      </c>
      <c r="J54" s="53"/>
      <c r="K54" s="52"/>
      <c r="L54" s="52"/>
      <c r="M54" s="39" t="s">
        <v>459</v>
      </c>
    </row>
    <row r="55" spans="1:13">
      <c r="A55" s="45"/>
      <c r="B55" s="46"/>
      <c r="C55" s="47"/>
      <c r="D55" s="47"/>
      <c r="E55" s="47"/>
      <c r="F55" s="45"/>
      <c r="G55" s="45"/>
      <c r="H55" s="46" t="s">
        <v>14</v>
      </c>
      <c r="I55" s="46"/>
      <c r="J55" s="48"/>
      <c r="K55" s="49"/>
      <c r="L55" s="49">
        <f>SUM(L3:L54)</f>
        <v>111311.14</v>
      </c>
      <c r="M55" s="49">
        <f>SUM(M3:M54)</f>
        <v>0</v>
      </c>
    </row>
    <row r="56" spans="1:13">
      <c r="A56" s="50"/>
      <c r="B56" s="51" t="s">
        <v>78</v>
      </c>
      <c r="C56" s="43" t="s">
        <v>72</v>
      </c>
      <c r="D56" s="43"/>
      <c r="E56" s="43">
        <v>3110</v>
      </c>
      <c r="F56" s="40">
        <v>3110</v>
      </c>
      <c r="G56" s="40">
        <v>1112</v>
      </c>
      <c r="H56" s="39" t="s">
        <v>344</v>
      </c>
      <c r="I56" s="39" t="s">
        <v>12</v>
      </c>
      <c r="J56" s="41">
        <v>20</v>
      </c>
      <c r="K56" s="42"/>
      <c r="L56" s="42">
        <v>2440</v>
      </c>
      <c r="M56" s="42" t="s">
        <v>458</v>
      </c>
    </row>
    <row r="57" spans="1:13">
      <c r="A57" s="45"/>
      <c r="B57" s="46"/>
      <c r="C57" s="47"/>
      <c r="D57" s="47"/>
      <c r="E57" s="47"/>
      <c r="F57" s="45"/>
      <c r="G57" s="45"/>
      <c r="H57" s="46" t="s">
        <v>14</v>
      </c>
      <c r="I57" s="46"/>
      <c r="J57" s="48"/>
      <c r="K57" s="49"/>
      <c r="L57" s="49">
        <f>SUM(L56)</f>
        <v>2440</v>
      </c>
      <c r="M57" s="46"/>
    </row>
    <row r="58" spans="1:13" hidden="1">
      <c r="A58" s="40">
        <v>1</v>
      </c>
      <c r="B58" s="39" t="s">
        <v>31</v>
      </c>
      <c r="C58" s="43"/>
      <c r="D58" s="43"/>
      <c r="E58" s="43"/>
      <c r="F58" s="40"/>
      <c r="G58" s="40"/>
      <c r="H58" s="39"/>
      <c r="I58" s="39"/>
      <c r="J58" s="41"/>
      <c r="K58" s="42"/>
      <c r="L58" s="42"/>
      <c r="M58" s="42" t="s">
        <v>458</v>
      </c>
    </row>
    <row r="59" spans="1:13" hidden="1">
      <c r="A59" s="40">
        <v>2</v>
      </c>
      <c r="B59" s="39" t="s">
        <v>31</v>
      </c>
      <c r="C59" s="43"/>
      <c r="D59" s="43"/>
      <c r="E59" s="43"/>
      <c r="F59" s="40"/>
      <c r="G59" s="40"/>
      <c r="H59" s="39"/>
      <c r="I59" s="39"/>
      <c r="J59" s="41"/>
      <c r="K59" s="42"/>
      <c r="L59" s="42"/>
      <c r="M59" s="42" t="s">
        <v>458</v>
      </c>
    </row>
    <row r="60" spans="1:13" hidden="1">
      <c r="A60" s="40">
        <v>3</v>
      </c>
      <c r="B60" s="39" t="s">
        <v>31</v>
      </c>
      <c r="C60" s="43"/>
      <c r="D60" s="43"/>
      <c r="E60" s="43"/>
      <c r="F60" s="40"/>
      <c r="G60" s="40"/>
      <c r="H60" s="39"/>
      <c r="I60" s="39"/>
      <c r="J60" s="41"/>
      <c r="K60" s="42"/>
      <c r="L60" s="42"/>
      <c r="M60" s="42" t="s">
        <v>458</v>
      </c>
    </row>
    <row r="61" spans="1:13" hidden="1">
      <c r="A61" s="40">
        <v>4</v>
      </c>
      <c r="B61" s="39" t="s">
        <v>31</v>
      </c>
      <c r="C61" s="43"/>
      <c r="D61" s="43"/>
      <c r="E61" s="43"/>
      <c r="F61" s="40"/>
      <c r="G61" s="40"/>
      <c r="H61" s="51"/>
      <c r="I61" s="51"/>
      <c r="J61" s="53"/>
      <c r="K61" s="52"/>
      <c r="L61" s="52"/>
      <c r="M61" s="42" t="s">
        <v>458</v>
      </c>
    </row>
    <row r="62" spans="1:13" hidden="1">
      <c r="A62" s="40">
        <v>5</v>
      </c>
      <c r="B62" s="39" t="s">
        <v>31</v>
      </c>
      <c r="C62" s="43"/>
      <c r="D62" s="43"/>
      <c r="E62" s="43"/>
      <c r="F62" s="40"/>
      <c r="G62" s="40"/>
      <c r="H62" s="43"/>
      <c r="I62" s="51"/>
      <c r="J62" s="41"/>
      <c r="K62" s="42"/>
      <c r="L62" s="42"/>
      <c r="M62" s="42" t="s">
        <v>458</v>
      </c>
    </row>
    <row r="63" spans="1:13" hidden="1">
      <c r="A63" s="40">
        <v>6</v>
      </c>
      <c r="B63" s="39" t="s">
        <v>31</v>
      </c>
      <c r="C63" s="43"/>
      <c r="D63" s="43"/>
      <c r="E63" s="43"/>
      <c r="F63" s="40"/>
      <c r="G63" s="40"/>
      <c r="H63" s="43"/>
      <c r="I63" s="51"/>
      <c r="J63" s="41"/>
      <c r="K63" s="42"/>
      <c r="L63" s="42"/>
      <c r="M63" s="42" t="s">
        <v>458</v>
      </c>
    </row>
    <row r="64" spans="1:13" hidden="1">
      <c r="A64" s="40">
        <v>7</v>
      </c>
      <c r="B64" s="39" t="s">
        <v>31</v>
      </c>
      <c r="C64" s="43"/>
      <c r="D64" s="43"/>
      <c r="E64" s="43"/>
      <c r="F64" s="40"/>
      <c r="G64" s="40"/>
      <c r="H64" s="43"/>
      <c r="I64" s="51"/>
      <c r="J64" s="41"/>
      <c r="K64" s="42"/>
      <c r="L64" s="42"/>
      <c r="M64" s="42" t="s">
        <v>458</v>
      </c>
    </row>
    <row r="65" spans="1:13" hidden="1">
      <c r="A65" s="40">
        <v>8</v>
      </c>
      <c r="B65" s="39" t="s">
        <v>31</v>
      </c>
      <c r="C65" s="43"/>
      <c r="D65" s="43"/>
      <c r="E65" s="43"/>
      <c r="F65" s="40"/>
      <c r="G65" s="40"/>
      <c r="H65" s="43"/>
      <c r="I65" s="51"/>
      <c r="J65" s="41"/>
      <c r="K65" s="42"/>
      <c r="L65" s="42"/>
      <c r="M65" s="42" t="s">
        <v>458</v>
      </c>
    </row>
    <row r="66" spans="1:13" hidden="1">
      <c r="A66" s="40">
        <v>9</v>
      </c>
      <c r="B66" s="39" t="s">
        <v>31</v>
      </c>
      <c r="C66" s="43"/>
      <c r="D66" s="43"/>
      <c r="E66" s="43"/>
      <c r="F66" s="40"/>
      <c r="G66" s="40"/>
      <c r="H66" s="43"/>
      <c r="I66" s="51"/>
      <c r="J66" s="41"/>
      <c r="K66" s="42"/>
      <c r="L66" s="42"/>
      <c r="M66" s="42" t="s">
        <v>458</v>
      </c>
    </row>
    <row r="67" spans="1:13" hidden="1">
      <c r="A67" s="40">
        <v>10</v>
      </c>
      <c r="B67" s="39" t="s">
        <v>31</v>
      </c>
      <c r="C67" s="43"/>
      <c r="D67" s="43"/>
      <c r="E67" s="43"/>
      <c r="F67" s="40"/>
      <c r="G67" s="40"/>
      <c r="H67" s="43"/>
      <c r="I67" s="51"/>
      <c r="J67" s="41"/>
      <c r="K67" s="42"/>
      <c r="L67" s="42"/>
      <c r="M67" s="42" t="s">
        <v>458</v>
      </c>
    </row>
    <row r="68" spans="1:13" hidden="1">
      <c r="A68" s="40">
        <v>11</v>
      </c>
      <c r="B68" s="39" t="s">
        <v>31</v>
      </c>
      <c r="C68" s="43"/>
      <c r="D68" s="43"/>
      <c r="E68" s="43"/>
      <c r="F68" s="40"/>
      <c r="G68" s="40"/>
      <c r="H68" s="43"/>
      <c r="I68" s="51"/>
      <c r="J68" s="41"/>
      <c r="K68" s="42"/>
      <c r="L68" s="42"/>
      <c r="M68" s="42" t="s">
        <v>458</v>
      </c>
    </row>
    <row r="69" spans="1:13" hidden="1">
      <c r="A69" s="40">
        <v>12</v>
      </c>
      <c r="B69" s="39" t="s">
        <v>31</v>
      </c>
      <c r="C69" s="43"/>
      <c r="D69" s="43"/>
      <c r="E69" s="43"/>
      <c r="F69" s="40"/>
      <c r="G69" s="40"/>
      <c r="H69" s="43"/>
      <c r="I69" s="51"/>
      <c r="J69" s="41"/>
      <c r="K69" s="42"/>
      <c r="L69" s="42"/>
      <c r="M69" s="42" t="s">
        <v>458</v>
      </c>
    </row>
    <row r="70" spans="1:13" hidden="1">
      <c r="A70" s="40">
        <v>13</v>
      </c>
      <c r="B70" s="39" t="s">
        <v>31</v>
      </c>
      <c r="C70" s="43"/>
      <c r="D70" s="43"/>
      <c r="E70" s="43"/>
      <c r="F70" s="40"/>
      <c r="G70" s="40"/>
      <c r="H70" s="43"/>
      <c r="I70" s="51"/>
      <c r="J70" s="41"/>
      <c r="K70" s="42"/>
      <c r="L70" s="42"/>
      <c r="M70" s="42" t="s">
        <v>458</v>
      </c>
    </row>
    <row r="71" spans="1:13" hidden="1">
      <c r="A71" s="40">
        <v>14</v>
      </c>
      <c r="B71" s="39" t="s">
        <v>31</v>
      </c>
      <c r="C71" s="43"/>
      <c r="D71" s="43"/>
      <c r="E71" s="43"/>
      <c r="F71" s="40"/>
      <c r="G71" s="40"/>
      <c r="H71" s="43"/>
      <c r="I71" s="51"/>
      <c r="J71" s="41"/>
      <c r="K71" s="42"/>
      <c r="L71" s="42"/>
      <c r="M71" s="42" t="s">
        <v>458</v>
      </c>
    </row>
    <row r="72" spans="1:13" hidden="1">
      <c r="A72" s="40">
        <v>15</v>
      </c>
      <c r="B72" s="39" t="s">
        <v>31</v>
      </c>
      <c r="C72" s="43"/>
      <c r="D72" s="43"/>
      <c r="E72" s="43"/>
      <c r="F72" s="40"/>
      <c r="G72" s="40"/>
      <c r="H72" s="43"/>
      <c r="I72" s="51"/>
      <c r="J72" s="41"/>
      <c r="K72" s="42"/>
      <c r="L72" s="42"/>
      <c r="M72" s="42" t="s">
        <v>458</v>
      </c>
    </row>
    <row r="73" spans="1:13" hidden="1">
      <c r="A73" s="40">
        <v>16</v>
      </c>
      <c r="B73" s="39" t="s">
        <v>31</v>
      </c>
      <c r="C73" s="43"/>
      <c r="D73" s="92"/>
      <c r="E73" s="43"/>
      <c r="F73" s="40"/>
      <c r="G73" s="40"/>
      <c r="H73" s="39"/>
      <c r="I73" s="39"/>
      <c r="J73" s="41"/>
      <c r="K73" s="42"/>
      <c r="L73" s="42"/>
      <c r="M73" s="42" t="s">
        <v>458</v>
      </c>
    </row>
    <row r="74" spans="1:13" hidden="1">
      <c r="A74" s="40">
        <v>17</v>
      </c>
      <c r="B74" s="39" t="s">
        <v>31</v>
      </c>
      <c r="C74" s="43"/>
      <c r="D74" s="92"/>
      <c r="E74" s="43"/>
      <c r="F74" s="40"/>
      <c r="G74" s="40"/>
      <c r="H74" s="39"/>
      <c r="I74" s="39"/>
      <c r="J74" s="41"/>
      <c r="K74" s="42"/>
      <c r="L74" s="42"/>
      <c r="M74" s="42" t="s">
        <v>458</v>
      </c>
    </row>
    <row r="75" spans="1:13" hidden="1">
      <c r="A75" s="40">
        <v>8</v>
      </c>
      <c r="B75" s="39" t="s">
        <v>31</v>
      </c>
      <c r="C75" s="43"/>
      <c r="D75" s="43"/>
      <c r="E75" s="43"/>
      <c r="F75" s="40"/>
      <c r="G75" s="40"/>
      <c r="H75" s="39"/>
      <c r="I75" s="39"/>
      <c r="J75" s="41"/>
      <c r="K75" s="42"/>
      <c r="L75" s="42"/>
      <c r="M75" s="42"/>
    </row>
    <row r="76" spans="1:13" hidden="1">
      <c r="A76" s="40">
        <v>9</v>
      </c>
      <c r="B76" s="39" t="s">
        <v>31</v>
      </c>
      <c r="C76" s="43"/>
      <c r="D76" s="43"/>
      <c r="E76" s="43"/>
      <c r="F76" s="40"/>
      <c r="G76" s="40"/>
      <c r="H76" s="39"/>
      <c r="I76" s="39"/>
      <c r="J76" s="41"/>
      <c r="K76" s="42"/>
      <c r="L76" s="42"/>
      <c r="M76" s="42"/>
    </row>
    <row r="77" spans="1:13" hidden="1">
      <c r="A77" s="40">
        <v>10</v>
      </c>
      <c r="B77" s="39" t="s">
        <v>31</v>
      </c>
      <c r="C77" s="43"/>
      <c r="D77" s="43"/>
      <c r="E77" s="43"/>
      <c r="F77" s="40"/>
      <c r="G77" s="40"/>
      <c r="H77" s="39"/>
      <c r="I77" s="39"/>
      <c r="J77" s="41"/>
      <c r="K77" s="42"/>
      <c r="L77" s="42"/>
      <c r="M77" s="42"/>
    </row>
    <row r="78" spans="1:13" hidden="1">
      <c r="A78" s="45"/>
      <c r="B78" s="46"/>
      <c r="C78" s="47"/>
      <c r="D78" s="47"/>
      <c r="E78" s="47"/>
      <c r="F78" s="45"/>
      <c r="G78" s="45"/>
      <c r="H78" s="46" t="s">
        <v>14</v>
      </c>
      <c r="I78" s="46"/>
      <c r="J78" s="48"/>
      <c r="K78" s="49"/>
      <c r="L78" s="49">
        <f>SUM(L58:L77)</f>
        <v>0</v>
      </c>
      <c r="M78" s="49">
        <f>SUM(M58:M77)</f>
        <v>0</v>
      </c>
    </row>
    <row r="79" spans="1:13">
      <c r="A79" s="40">
        <v>3</v>
      </c>
      <c r="B79" s="39" t="s">
        <v>104</v>
      </c>
      <c r="C79" s="43" t="s">
        <v>247</v>
      </c>
      <c r="D79" s="43" t="s">
        <v>247</v>
      </c>
      <c r="E79" s="43">
        <v>2210</v>
      </c>
      <c r="F79" s="40"/>
      <c r="G79" s="40">
        <v>1113</v>
      </c>
      <c r="H79" s="39" t="s">
        <v>541</v>
      </c>
      <c r="I79" s="39" t="s">
        <v>12</v>
      </c>
      <c r="J79" s="41">
        <v>1</v>
      </c>
      <c r="K79" s="42">
        <v>750</v>
      </c>
      <c r="L79" s="42">
        <v>750</v>
      </c>
      <c r="M79" s="42" t="s">
        <v>458</v>
      </c>
    </row>
    <row r="80" spans="1:13">
      <c r="A80" s="40"/>
      <c r="B80" s="39" t="s">
        <v>104</v>
      </c>
      <c r="C80" s="43"/>
      <c r="D80" s="43"/>
      <c r="E80" s="43"/>
      <c r="F80" s="40"/>
      <c r="G80" s="40"/>
      <c r="H80" s="39"/>
      <c r="I80" s="39"/>
      <c r="J80" s="41"/>
      <c r="K80" s="42"/>
      <c r="L80" s="42"/>
      <c r="M80" s="42" t="s">
        <v>458</v>
      </c>
    </row>
    <row r="81" spans="1:13">
      <c r="A81" s="45"/>
      <c r="B81" s="46"/>
      <c r="C81" s="47"/>
      <c r="D81" s="47"/>
      <c r="E81" s="47"/>
      <c r="F81" s="45"/>
      <c r="G81" s="45"/>
      <c r="H81" s="46" t="s">
        <v>14</v>
      </c>
      <c r="I81" s="46"/>
      <c r="J81" s="48"/>
      <c r="K81" s="49"/>
      <c r="L81" s="49">
        <f>SUM(L79:L80)</f>
        <v>750</v>
      </c>
      <c r="M81" s="46"/>
    </row>
    <row r="82" spans="1:13" hidden="1">
      <c r="A82" s="50">
        <v>1</v>
      </c>
      <c r="B82" s="51" t="s">
        <v>35</v>
      </c>
      <c r="C82" s="43"/>
      <c r="D82" s="43"/>
      <c r="E82" s="43"/>
      <c r="F82" s="40"/>
      <c r="G82" s="40"/>
      <c r="H82" s="39"/>
      <c r="I82" s="39"/>
      <c r="J82" s="41"/>
      <c r="K82" s="42"/>
      <c r="L82" s="42"/>
      <c r="M82" s="42" t="s">
        <v>458</v>
      </c>
    </row>
    <row r="83" spans="1:13" hidden="1">
      <c r="A83" s="45"/>
      <c r="B83" s="46"/>
      <c r="C83" s="47"/>
      <c r="D83" s="47"/>
      <c r="E83" s="47"/>
      <c r="F83" s="45"/>
      <c r="G83" s="45"/>
      <c r="H83" s="46" t="s">
        <v>14</v>
      </c>
      <c r="I83" s="46"/>
      <c r="J83" s="48"/>
      <c r="K83" s="49"/>
      <c r="L83" s="49">
        <f>SUM(L82)</f>
        <v>0</v>
      </c>
      <c r="M83" s="46"/>
    </row>
    <row r="84" spans="1:13">
      <c r="A84" s="50">
        <v>1</v>
      </c>
      <c r="B84" s="51" t="s">
        <v>36</v>
      </c>
      <c r="C84" s="43" t="s">
        <v>72</v>
      </c>
      <c r="D84" s="43"/>
      <c r="E84" s="43">
        <v>3110</v>
      </c>
      <c r="F84" s="40">
        <v>3110</v>
      </c>
      <c r="G84" s="40">
        <v>1112</v>
      </c>
      <c r="H84" s="39" t="s">
        <v>344</v>
      </c>
      <c r="I84" s="39" t="s">
        <v>12</v>
      </c>
      <c r="J84" s="41">
        <v>100</v>
      </c>
      <c r="K84" s="42"/>
      <c r="L84" s="42">
        <v>12200</v>
      </c>
      <c r="M84" s="42" t="s">
        <v>458</v>
      </c>
    </row>
    <row r="85" spans="1:13">
      <c r="A85" s="50">
        <v>2</v>
      </c>
      <c r="B85" s="51" t="s">
        <v>36</v>
      </c>
      <c r="C85" s="43"/>
      <c r="D85" s="43"/>
      <c r="E85" s="43"/>
      <c r="F85" s="40"/>
      <c r="G85" s="40"/>
      <c r="H85" s="39"/>
      <c r="I85" s="39"/>
      <c r="J85" s="41"/>
      <c r="K85" s="42"/>
      <c r="L85" s="42"/>
      <c r="M85" s="42" t="s">
        <v>458</v>
      </c>
    </row>
    <row r="86" spans="1:13">
      <c r="A86" s="50">
        <v>3</v>
      </c>
      <c r="B86" s="51" t="s">
        <v>36</v>
      </c>
      <c r="C86" s="43"/>
      <c r="D86" s="43"/>
      <c r="E86" s="43"/>
      <c r="F86" s="40"/>
      <c r="G86" s="40"/>
      <c r="H86" s="39"/>
      <c r="I86" s="39"/>
      <c r="J86" s="41"/>
      <c r="K86" s="42"/>
      <c r="L86" s="42"/>
      <c r="M86" s="42" t="s">
        <v>458</v>
      </c>
    </row>
    <row r="87" spans="1:13">
      <c r="A87" s="45"/>
      <c r="B87" s="46"/>
      <c r="C87" s="47"/>
      <c r="D87" s="47"/>
      <c r="E87" s="47"/>
      <c r="F87" s="45"/>
      <c r="G87" s="45"/>
      <c r="H87" s="46" t="s">
        <v>14</v>
      </c>
      <c r="I87" s="46"/>
      <c r="J87" s="48"/>
      <c r="K87" s="49"/>
      <c r="L87" s="49">
        <f>SUM(L84:L86)</f>
        <v>12200</v>
      </c>
      <c r="M87" s="46">
        <f>SUM(M84:M86)</f>
        <v>0</v>
      </c>
    </row>
    <row r="88" spans="1:13">
      <c r="A88" s="50">
        <v>1</v>
      </c>
      <c r="B88" s="51" t="s">
        <v>56</v>
      </c>
      <c r="C88" s="43" t="s">
        <v>247</v>
      </c>
      <c r="D88" s="43" t="s">
        <v>247</v>
      </c>
      <c r="E88" s="43">
        <v>2210</v>
      </c>
      <c r="F88" s="40"/>
      <c r="G88" s="40" t="s">
        <v>11</v>
      </c>
      <c r="H88" s="39" t="s">
        <v>542</v>
      </c>
      <c r="I88" s="39" t="s">
        <v>543</v>
      </c>
      <c r="J88" s="41"/>
      <c r="K88" s="42"/>
      <c r="L88" s="42">
        <v>26507</v>
      </c>
      <c r="M88" s="42" t="s">
        <v>458</v>
      </c>
    </row>
    <row r="89" spans="1:13" hidden="1">
      <c r="A89" s="50">
        <v>2</v>
      </c>
      <c r="B89" s="51" t="s">
        <v>56</v>
      </c>
      <c r="C89" s="43"/>
      <c r="D89" s="43"/>
      <c r="E89" s="43"/>
      <c r="F89" s="40"/>
      <c r="G89" s="40"/>
      <c r="H89" s="39"/>
      <c r="I89" s="39"/>
      <c r="J89" s="41"/>
      <c r="K89" s="42"/>
      <c r="L89" s="42"/>
      <c r="M89" s="42" t="s">
        <v>458</v>
      </c>
    </row>
    <row r="90" spans="1:13" hidden="1">
      <c r="A90" s="50">
        <v>3</v>
      </c>
      <c r="B90" s="51" t="s">
        <v>56</v>
      </c>
      <c r="C90" s="43"/>
      <c r="D90" s="43"/>
      <c r="E90" s="43"/>
      <c r="F90" s="40"/>
      <c r="G90" s="40"/>
      <c r="H90" s="51"/>
      <c r="I90" s="51"/>
      <c r="J90" s="53"/>
      <c r="K90" s="52"/>
      <c r="L90" s="52"/>
      <c r="M90" s="42" t="s">
        <v>458</v>
      </c>
    </row>
    <row r="91" spans="1:13" hidden="1">
      <c r="A91" s="50">
        <v>4</v>
      </c>
      <c r="B91" s="51" t="s">
        <v>56</v>
      </c>
      <c r="C91" s="43"/>
      <c r="D91" s="43"/>
      <c r="E91" s="43"/>
      <c r="F91" s="40"/>
      <c r="G91" s="40"/>
      <c r="H91" s="43"/>
      <c r="I91" s="51"/>
      <c r="J91" s="41"/>
      <c r="K91" s="42"/>
      <c r="L91" s="42"/>
      <c r="M91" s="42" t="s">
        <v>458</v>
      </c>
    </row>
    <row r="92" spans="1:13" hidden="1">
      <c r="A92" s="50">
        <v>5</v>
      </c>
      <c r="B92" s="51" t="s">
        <v>56</v>
      </c>
      <c r="C92" s="43"/>
      <c r="D92" s="43"/>
      <c r="E92" s="43"/>
      <c r="F92" s="40"/>
      <c r="G92" s="40"/>
      <c r="H92" s="43"/>
      <c r="I92" s="51"/>
      <c r="J92" s="41"/>
      <c r="K92" s="42"/>
      <c r="L92" s="42"/>
      <c r="M92" s="42" t="s">
        <v>458</v>
      </c>
    </row>
    <row r="93" spans="1:13" hidden="1">
      <c r="A93" s="50">
        <v>7</v>
      </c>
      <c r="B93" s="51" t="s">
        <v>56</v>
      </c>
      <c r="C93" s="43"/>
      <c r="D93" s="43"/>
      <c r="E93" s="43"/>
      <c r="F93" s="40"/>
      <c r="G93" s="40"/>
      <c r="H93" s="43"/>
      <c r="I93" s="51"/>
      <c r="J93" s="41"/>
      <c r="K93" s="42"/>
      <c r="L93" s="42"/>
      <c r="M93" s="42" t="s">
        <v>458</v>
      </c>
    </row>
    <row r="94" spans="1:13" hidden="1">
      <c r="A94" s="50">
        <v>8</v>
      </c>
      <c r="B94" s="51" t="s">
        <v>56</v>
      </c>
      <c r="C94" s="43"/>
      <c r="D94" s="43"/>
      <c r="E94" s="43"/>
      <c r="F94" s="40"/>
      <c r="G94" s="40"/>
      <c r="H94" s="43"/>
      <c r="I94" s="51"/>
      <c r="J94" s="41"/>
      <c r="K94" s="42"/>
      <c r="L94" s="42"/>
      <c r="M94" s="42" t="s">
        <v>458</v>
      </c>
    </row>
    <row r="95" spans="1:13" hidden="1">
      <c r="A95" s="50">
        <v>9</v>
      </c>
      <c r="B95" s="51" t="s">
        <v>56</v>
      </c>
      <c r="C95" s="43"/>
      <c r="D95" s="43"/>
      <c r="E95" s="43"/>
      <c r="F95" s="40"/>
      <c r="G95" s="40"/>
      <c r="H95" s="43"/>
      <c r="I95" s="51"/>
      <c r="J95" s="41"/>
      <c r="K95" s="42"/>
      <c r="L95" s="42"/>
      <c r="M95" s="42" t="s">
        <v>458</v>
      </c>
    </row>
    <row r="96" spans="1:13" hidden="1">
      <c r="A96" s="50">
        <v>10</v>
      </c>
      <c r="B96" s="51" t="s">
        <v>56</v>
      </c>
      <c r="C96" s="43"/>
      <c r="D96" s="43"/>
      <c r="E96" s="43"/>
      <c r="F96" s="40"/>
      <c r="G96" s="40"/>
      <c r="H96" s="43"/>
      <c r="I96" s="51"/>
      <c r="J96" s="41"/>
      <c r="K96" s="42"/>
      <c r="L96" s="42"/>
      <c r="M96" s="42" t="s">
        <v>458</v>
      </c>
    </row>
    <row r="97" spans="1:14" hidden="1">
      <c r="A97" s="50">
        <v>11</v>
      </c>
      <c r="B97" s="51" t="s">
        <v>56</v>
      </c>
      <c r="C97" s="43"/>
      <c r="D97" s="43"/>
      <c r="E97" s="43"/>
      <c r="F97" s="40"/>
      <c r="G97" s="40"/>
      <c r="H97" s="43"/>
      <c r="I97" s="51"/>
      <c r="J97" s="41"/>
      <c r="K97" s="42"/>
      <c r="L97" s="42"/>
      <c r="M97" s="42" t="s">
        <v>458</v>
      </c>
    </row>
    <row r="98" spans="1:14" hidden="1">
      <c r="A98" s="50">
        <v>12</v>
      </c>
      <c r="B98" s="51" t="s">
        <v>56</v>
      </c>
      <c r="C98" s="43"/>
      <c r="D98" s="43"/>
      <c r="E98" s="43"/>
      <c r="F98" s="40"/>
      <c r="G98" s="40"/>
      <c r="H98" s="43"/>
      <c r="I98" s="51"/>
      <c r="J98" s="41"/>
      <c r="K98" s="42"/>
      <c r="L98" s="42"/>
      <c r="M98" s="42" t="s">
        <v>458</v>
      </c>
    </row>
    <row r="99" spans="1:14" hidden="1">
      <c r="A99" s="50">
        <v>13</v>
      </c>
      <c r="B99" s="51" t="s">
        <v>56</v>
      </c>
      <c r="C99" s="43"/>
      <c r="D99" s="43"/>
      <c r="E99" s="43"/>
      <c r="F99" s="40"/>
      <c r="G99" s="40"/>
      <c r="H99" s="43"/>
      <c r="I99" s="51"/>
      <c r="J99" s="41"/>
      <c r="K99" s="42"/>
      <c r="L99" s="42"/>
      <c r="M99" s="42" t="s">
        <v>458</v>
      </c>
    </row>
    <row r="100" spans="1:14" hidden="1">
      <c r="A100" s="50">
        <v>14</v>
      </c>
      <c r="B100" s="51" t="s">
        <v>56</v>
      </c>
      <c r="C100" s="43"/>
      <c r="D100" s="43"/>
      <c r="E100" s="43"/>
      <c r="F100" s="40"/>
      <c r="G100" s="40"/>
      <c r="H100" s="43"/>
      <c r="I100" s="51"/>
      <c r="J100" s="41"/>
      <c r="K100" s="42"/>
      <c r="L100" s="42"/>
      <c r="M100" s="42" t="s">
        <v>458</v>
      </c>
    </row>
    <row r="101" spans="1:14">
      <c r="A101" s="45"/>
      <c r="B101" s="46"/>
      <c r="C101" s="47"/>
      <c r="D101" s="47"/>
      <c r="E101" s="47"/>
      <c r="F101" s="45"/>
      <c r="G101" s="45"/>
      <c r="H101" s="46" t="s">
        <v>14</v>
      </c>
      <c r="I101" s="46"/>
      <c r="J101" s="48"/>
      <c r="K101" s="49"/>
      <c r="L101" s="49">
        <f>SUM(L88:L100)</f>
        <v>26507</v>
      </c>
      <c r="M101" s="46">
        <f>SUM(M88:M100)</f>
        <v>0</v>
      </c>
    </row>
    <row r="102" spans="1:14" hidden="1">
      <c r="A102" s="40">
        <v>1</v>
      </c>
      <c r="B102" s="39" t="s">
        <v>37</v>
      </c>
      <c r="C102" s="43"/>
      <c r="D102" s="43"/>
      <c r="E102" s="43"/>
      <c r="F102" s="40"/>
      <c r="G102" s="40"/>
      <c r="H102" s="39"/>
      <c r="I102" s="39"/>
      <c r="J102" s="41"/>
      <c r="K102" s="42"/>
      <c r="L102" s="42"/>
      <c r="M102" s="42" t="s">
        <v>458</v>
      </c>
    </row>
    <row r="103" spans="1:14" hidden="1">
      <c r="A103" s="40">
        <v>2</v>
      </c>
      <c r="B103" s="39" t="s">
        <v>37</v>
      </c>
      <c r="C103" s="43"/>
      <c r="D103" s="43"/>
      <c r="E103" s="43"/>
      <c r="F103" s="40"/>
      <c r="G103" s="40"/>
      <c r="H103" s="39"/>
      <c r="I103" s="39"/>
      <c r="J103" s="41"/>
      <c r="K103" s="42"/>
      <c r="L103" s="42"/>
      <c r="M103" s="42" t="s">
        <v>458</v>
      </c>
    </row>
    <row r="104" spans="1:14" hidden="1">
      <c r="A104" s="45"/>
      <c r="B104" s="46"/>
      <c r="C104" s="47"/>
      <c r="D104" s="47"/>
      <c r="E104" s="47"/>
      <c r="F104" s="45"/>
      <c r="G104" s="45"/>
      <c r="H104" s="46" t="s">
        <v>14</v>
      </c>
      <c r="I104" s="46"/>
      <c r="J104" s="48"/>
      <c r="K104" s="49"/>
      <c r="L104" s="49">
        <f>SUM(L102:L103)</f>
        <v>0</v>
      </c>
      <c r="M104" s="46">
        <f>SUM(M102:M103)</f>
        <v>0</v>
      </c>
    </row>
    <row r="105" spans="1:14" hidden="1">
      <c r="A105" s="45"/>
      <c r="B105" s="46"/>
      <c r="C105" s="43"/>
      <c r="D105" s="43"/>
      <c r="E105" s="43"/>
      <c r="F105" s="40"/>
      <c r="G105" s="40"/>
      <c r="H105" s="39"/>
      <c r="I105" s="39"/>
      <c r="J105" s="41"/>
      <c r="K105" s="42"/>
      <c r="L105" s="42"/>
      <c r="M105" s="42" t="s">
        <v>458</v>
      </c>
      <c r="N105" s="42"/>
    </row>
    <row r="106" spans="1:14" hidden="1">
      <c r="A106" s="50">
        <v>1</v>
      </c>
      <c r="B106" s="51" t="s">
        <v>39</v>
      </c>
      <c r="C106" s="43"/>
      <c r="D106" s="43"/>
      <c r="E106" s="43"/>
      <c r="F106" s="40"/>
      <c r="G106" s="40"/>
      <c r="H106" s="39"/>
      <c r="I106" s="39"/>
      <c r="J106" s="41"/>
      <c r="K106" s="42"/>
      <c r="L106" s="42"/>
      <c r="M106" s="42" t="s">
        <v>458</v>
      </c>
    </row>
    <row r="107" spans="1:14" hidden="1">
      <c r="A107" s="50"/>
      <c r="B107" s="51"/>
      <c r="C107" s="43"/>
      <c r="D107" s="43"/>
      <c r="E107" s="43"/>
      <c r="F107" s="40"/>
      <c r="G107" s="40"/>
      <c r="H107" s="39"/>
      <c r="I107" s="39"/>
      <c r="J107" s="41"/>
      <c r="K107" s="42"/>
      <c r="L107" s="42"/>
      <c r="M107" s="42" t="s">
        <v>458</v>
      </c>
    </row>
    <row r="108" spans="1:14" hidden="1">
      <c r="A108" s="45"/>
      <c r="B108" s="46"/>
      <c r="C108" s="47"/>
      <c r="D108" s="47"/>
      <c r="E108" s="47"/>
      <c r="F108" s="45"/>
      <c r="G108" s="45"/>
      <c r="H108" s="46" t="s">
        <v>14</v>
      </c>
      <c r="I108" s="46"/>
      <c r="J108" s="48"/>
      <c r="K108" s="49"/>
      <c r="L108" s="49">
        <f>SUM(L105:L107)</f>
        <v>0</v>
      </c>
      <c r="M108" s="46"/>
    </row>
    <row r="109" spans="1:14">
      <c r="A109" s="50">
        <v>1</v>
      </c>
      <c r="B109" s="51" t="s">
        <v>42</v>
      </c>
      <c r="C109" s="43" t="s">
        <v>72</v>
      </c>
      <c r="D109" s="43"/>
      <c r="E109" s="43">
        <v>3110</v>
      </c>
      <c r="F109" s="40">
        <v>3110</v>
      </c>
      <c r="G109" s="40">
        <v>1112</v>
      </c>
      <c r="H109" s="39" t="s">
        <v>344</v>
      </c>
      <c r="I109" s="39" t="s">
        <v>12</v>
      </c>
      <c r="J109" s="41">
        <v>23</v>
      </c>
      <c r="K109" s="42"/>
      <c r="L109" s="42">
        <v>2806</v>
      </c>
      <c r="M109" s="42" t="s">
        <v>458</v>
      </c>
    </row>
    <row r="110" spans="1:14" hidden="1">
      <c r="A110" s="50"/>
      <c r="B110" s="51"/>
      <c r="C110" s="43"/>
      <c r="D110" s="43"/>
      <c r="E110" s="43"/>
      <c r="F110" s="40"/>
      <c r="G110" s="40"/>
      <c r="H110" s="39"/>
      <c r="I110" s="39"/>
      <c r="J110" s="41"/>
      <c r="K110" s="42"/>
      <c r="L110" s="42"/>
      <c r="M110" s="42" t="s">
        <v>458</v>
      </c>
    </row>
    <row r="111" spans="1:14" hidden="1">
      <c r="A111" s="50"/>
      <c r="B111" s="51"/>
      <c r="C111" s="43"/>
      <c r="D111" s="43"/>
      <c r="E111" s="43"/>
      <c r="F111" s="40"/>
      <c r="G111" s="40"/>
      <c r="H111" s="39"/>
      <c r="I111" s="39"/>
      <c r="J111" s="41"/>
      <c r="K111" s="42"/>
      <c r="L111" s="42"/>
      <c r="M111" s="42" t="s">
        <v>458</v>
      </c>
    </row>
    <row r="112" spans="1:14">
      <c r="A112" s="45"/>
      <c r="B112" s="46"/>
      <c r="C112" s="47"/>
      <c r="D112" s="47"/>
      <c r="E112" s="47"/>
      <c r="F112" s="45"/>
      <c r="G112" s="45"/>
      <c r="H112" s="46" t="s">
        <v>14</v>
      </c>
      <c r="I112" s="46"/>
      <c r="J112" s="48"/>
      <c r="K112" s="49"/>
      <c r="L112" s="49">
        <f>SUM(L109:L111)</f>
        <v>2806</v>
      </c>
      <c r="M112" s="46"/>
    </row>
    <row r="113" spans="1:13" hidden="1">
      <c r="A113" s="50">
        <v>1</v>
      </c>
      <c r="B113" s="51" t="s">
        <v>83</v>
      </c>
      <c r="C113" s="43"/>
      <c r="D113" s="43"/>
      <c r="E113" s="43"/>
      <c r="F113" s="40"/>
      <c r="G113" s="40"/>
      <c r="H113" s="39"/>
      <c r="I113" s="39"/>
      <c r="J113" s="41"/>
      <c r="K113" s="42"/>
      <c r="L113" s="42"/>
      <c r="M113" s="42" t="s">
        <v>458</v>
      </c>
    </row>
    <row r="114" spans="1:13" hidden="1">
      <c r="A114" s="50"/>
      <c r="B114" s="51"/>
      <c r="C114" s="43"/>
      <c r="D114" s="43"/>
      <c r="E114" s="43"/>
      <c r="F114" s="40"/>
      <c r="G114" s="40"/>
      <c r="H114" s="39"/>
      <c r="I114" s="39"/>
      <c r="J114" s="41"/>
      <c r="K114" s="42"/>
      <c r="L114" s="42"/>
      <c r="M114" s="42" t="s">
        <v>458</v>
      </c>
    </row>
    <row r="115" spans="1:13" hidden="1">
      <c r="A115" s="50"/>
      <c r="B115" s="51"/>
      <c r="C115" s="43"/>
      <c r="D115" s="43"/>
      <c r="E115" s="43"/>
      <c r="F115" s="40"/>
      <c r="G115" s="40"/>
      <c r="H115" s="39"/>
      <c r="I115" s="39"/>
      <c r="J115" s="41"/>
      <c r="K115" s="42"/>
      <c r="L115" s="42"/>
      <c r="M115" s="42" t="s">
        <v>458</v>
      </c>
    </row>
    <row r="116" spans="1:13" hidden="1">
      <c r="A116" s="45"/>
      <c r="B116" s="46"/>
      <c r="C116" s="47"/>
      <c r="D116" s="47"/>
      <c r="E116" s="47"/>
      <c r="F116" s="45"/>
      <c r="G116" s="45"/>
      <c r="H116" s="46" t="s">
        <v>14</v>
      </c>
      <c r="I116" s="46"/>
      <c r="J116" s="48"/>
      <c r="K116" s="49"/>
      <c r="L116" s="49">
        <f>SUM(L113:L115)</f>
        <v>0</v>
      </c>
      <c r="M116" s="46"/>
    </row>
    <row r="117" spans="1:13">
      <c r="A117" s="40">
        <v>1</v>
      </c>
      <c r="B117" s="39" t="s">
        <v>107</v>
      </c>
      <c r="C117" s="43" t="s">
        <v>72</v>
      </c>
      <c r="D117" s="43"/>
      <c r="E117" s="43">
        <v>3110</v>
      </c>
      <c r="F117" s="40">
        <v>3110</v>
      </c>
      <c r="G117" s="40">
        <v>1112</v>
      </c>
      <c r="H117" s="39" t="s">
        <v>344</v>
      </c>
      <c r="I117" s="39" t="s">
        <v>12</v>
      </c>
      <c r="J117" s="41">
        <v>50</v>
      </c>
      <c r="K117" s="42"/>
      <c r="L117" s="42">
        <v>6100</v>
      </c>
      <c r="M117" s="39" t="s">
        <v>459</v>
      </c>
    </row>
    <row r="118" spans="1:13" ht="30">
      <c r="A118" s="40"/>
      <c r="B118" s="39"/>
      <c r="C118" s="43" t="s">
        <v>561</v>
      </c>
      <c r="D118" s="43"/>
      <c r="E118" s="43">
        <v>7520</v>
      </c>
      <c r="F118" s="40"/>
      <c r="G118" s="40">
        <v>1113</v>
      </c>
      <c r="H118" s="39" t="s">
        <v>528</v>
      </c>
      <c r="I118" s="39" t="s">
        <v>12</v>
      </c>
      <c r="J118" s="41">
        <v>1</v>
      </c>
      <c r="K118" s="42"/>
      <c r="L118" s="42">
        <f>17670+229</f>
        <v>17899</v>
      </c>
      <c r="M118" s="39"/>
    </row>
    <row r="119" spans="1:13">
      <c r="A119" s="40"/>
      <c r="B119" s="39"/>
      <c r="C119" s="43"/>
      <c r="D119" s="43"/>
      <c r="E119" s="43">
        <v>7520</v>
      </c>
      <c r="F119" s="40"/>
      <c r="G119" s="40">
        <v>1113</v>
      </c>
      <c r="H119" s="39" t="s">
        <v>529</v>
      </c>
      <c r="I119" s="39" t="s">
        <v>12</v>
      </c>
      <c r="J119" s="41">
        <v>1</v>
      </c>
      <c r="K119" s="42"/>
      <c r="L119" s="42">
        <f>105+11998.98</f>
        <v>12103.98</v>
      </c>
      <c r="M119" s="39"/>
    </row>
    <row r="120" spans="1:13">
      <c r="A120" s="40"/>
      <c r="B120" s="39"/>
      <c r="C120" s="43"/>
      <c r="D120" s="43"/>
      <c r="E120" s="43">
        <v>7520</v>
      </c>
      <c r="F120" s="40"/>
      <c r="G120" s="40">
        <v>1113</v>
      </c>
      <c r="H120" s="39" t="s">
        <v>530</v>
      </c>
      <c r="I120" s="39" t="s">
        <v>12</v>
      </c>
      <c r="J120" s="41">
        <v>1</v>
      </c>
      <c r="K120" s="42"/>
      <c r="L120" s="42">
        <v>4509</v>
      </c>
      <c r="M120" s="39"/>
    </row>
    <row r="121" spans="1:13" hidden="1">
      <c r="A121" s="40"/>
      <c r="B121" s="39"/>
      <c r="C121" s="43"/>
      <c r="D121" s="43"/>
      <c r="E121" s="43"/>
      <c r="F121" s="40"/>
      <c r="G121" s="40"/>
      <c r="H121" s="39"/>
      <c r="I121" s="39"/>
      <c r="J121" s="41"/>
      <c r="K121" s="42"/>
      <c r="L121" s="42"/>
      <c r="M121" s="39"/>
    </row>
    <row r="122" spans="1:13" hidden="1">
      <c r="A122" s="40"/>
      <c r="B122" s="39"/>
      <c r="C122" s="43"/>
      <c r="D122" s="43"/>
      <c r="E122" s="43"/>
      <c r="F122" s="40"/>
      <c r="G122" s="40"/>
      <c r="H122" s="39"/>
      <c r="I122" s="39"/>
      <c r="J122" s="41"/>
      <c r="K122" s="42"/>
      <c r="L122" s="42"/>
      <c r="M122" s="39"/>
    </row>
    <row r="123" spans="1:13" hidden="1">
      <c r="A123" s="40"/>
      <c r="B123" s="39"/>
      <c r="C123" s="43"/>
      <c r="D123" s="43"/>
      <c r="E123" s="43"/>
      <c r="F123" s="40"/>
      <c r="G123" s="40"/>
      <c r="H123" s="39"/>
      <c r="I123" s="39"/>
      <c r="J123" s="41"/>
      <c r="K123" s="42"/>
      <c r="L123" s="42"/>
      <c r="M123" s="39"/>
    </row>
    <row r="124" spans="1:13" hidden="1">
      <c r="A124" s="40"/>
      <c r="B124" s="39"/>
      <c r="C124" s="43"/>
      <c r="D124" s="43"/>
      <c r="E124" s="43"/>
      <c r="F124" s="40"/>
      <c r="G124" s="40"/>
      <c r="H124" s="39"/>
      <c r="I124" s="39"/>
      <c r="J124" s="41"/>
      <c r="K124" s="42"/>
      <c r="L124" s="42"/>
      <c r="M124" s="39"/>
    </row>
    <row r="125" spans="1:13" hidden="1">
      <c r="A125" s="40"/>
      <c r="B125" s="39"/>
      <c r="C125" s="43"/>
      <c r="D125" s="43"/>
      <c r="E125" s="43"/>
      <c r="F125" s="40"/>
      <c r="G125" s="40"/>
      <c r="H125" s="39"/>
      <c r="I125" s="39"/>
      <c r="J125" s="41"/>
      <c r="K125" s="42"/>
      <c r="L125" s="42"/>
      <c r="M125" s="39"/>
    </row>
    <row r="126" spans="1:13">
      <c r="A126" s="45"/>
      <c r="B126" s="46"/>
      <c r="C126" s="47"/>
      <c r="D126" s="47"/>
      <c r="E126" s="47"/>
      <c r="F126" s="45"/>
      <c r="G126" s="45"/>
      <c r="H126" s="46" t="s">
        <v>14</v>
      </c>
      <c r="I126" s="46"/>
      <c r="J126" s="48"/>
      <c r="K126" s="49"/>
      <c r="L126" s="49">
        <f>SUM(L117:L125)</f>
        <v>40611.979999999996</v>
      </c>
      <c r="M126" s="46">
        <f>SUM(M117:M117)</f>
        <v>0</v>
      </c>
    </row>
    <row r="127" spans="1:13" hidden="1">
      <c r="A127" s="50">
        <v>1</v>
      </c>
      <c r="B127" s="51" t="s">
        <v>46</v>
      </c>
      <c r="C127" s="43"/>
      <c r="D127" s="43"/>
      <c r="E127" s="43"/>
      <c r="F127" s="40"/>
      <c r="G127" s="40"/>
      <c r="H127" s="39"/>
      <c r="I127" s="39"/>
      <c r="J127" s="41"/>
      <c r="K127" s="42"/>
      <c r="L127" s="42"/>
      <c r="M127" s="42" t="s">
        <v>458</v>
      </c>
    </row>
    <row r="128" spans="1:13" hidden="1">
      <c r="A128" s="50"/>
      <c r="B128" s="51"/>
      <c r="C128" s="43"/>
      <c r="D128" s="43"/>
      <c r="E128" s="43"/>
      <c r="F128" s="40"/>
      <c r="G128" s="40"/>
      <c r="H128" s="39"/>
      <c r="I128" s="39"/>
      <c r="J128" s="41"/>
      <c r="K128" s="42"/>
      <c r="L128" s="42"/>
      <c r="M128" s="42" t="s">
        <v>458</v>
      </c>
    </row>
    <row r="129" spans="1:13" hidden="1">
      <c r="A129" s="50"/>
      <c r="B129" s="51"/>
      <c r="C129" s="43"/>
      <c r="D129" s="43"/>
      <c r="E129" s="43"/>
      <c r="F129" s="40"/>
      <c r="G129" s="40"/>
      <c r="H129" s="39"/>
      <c r="I129" s="39"/>
      <c r="J129" s="41"/>
      <c r="K129" s="42"/>
      <c r="L129" s="42"/>
      <c r="M129" s="42" t="s">
        <v>458</v>
      </c>
    </row>
    <row r="130" spans="1:13" hidden="1">
      <c r="A130" s="45"/>
      <c r="B130" s="46"/>
      <c r="C130" s="47"/>
      <c r="D130" s="47"/>
      <c r="E130" s="47"/>
      <c r="F130" s="45"/>
      <c r="G130" s="45"/>
      <c r="H130" s="46" t="s">
        <v>14</v>
      </c>
      <c r="I130" s="46"/>
      <c r="J130" s="48"/>
      <c r="K130" s="49"/>
      <c r="L130" s="49">
        <f>SUM(L127:L129)</f>
        <v>0</v>
      </c>
      <c r="M130" s="46"/>
    </row>
    <row r="131" spans="1:13">
      <c r="A131" s="40">
        <v>1</v>
      </c>
      <c r="B131" s="39" t="s">
        <v>87</v>
      </c>
      <c r="C131" s="43" t="s">
        <v>72</v>
      </c>
      <c r="D131" s="43"/>
      <c r="E131" s="43">
        <v>3110</v>
      </c>
      <c r="F131" s="40">
        <v>3110</v>
      </c>
      <c r="G131" s="40">
        <v>1112</v>
      </c>
      <c r="H131" s="39" t="s">
        <v>344</v>
      </c>
      <c r="I131" s="39" t="s">
        <v>12</v>
      </c>
      <c r="J131" s="41">
        <v>80</v>
      </c>
      <c r="K131" s="42"/>
      <c r="L131" s="42">
        <v>9760</v>
      </c>
      <c r="M131" s="42" t="s">
        <v>458</v>
      </c>
    </row>
    <row r="132" spans="1:13" ht="30">
      <c r="A132" s="40">
        <v>2</v>
      </c>
      <c r="B132" s="39" t="s">
        <v>87</v>
      </c>
      <c r="C132" s="43" t="s">
        <v>544</v>
      </c>
      <c r="D132" s="43" t="s">
        <v>545</v>
      </c>
      <c r="E132" s="43">
        <v>2210</v>
      </c>
      <c r="F132" s="40"/>
      <c r="G132" s="40">
        <v>1113</v>
      </c>
      <c r="H132" s="39" t="s">
        <v>546</v>
      </c>
      <c r="I132" s="39" t="s">
        <v>12</v>
      </c>
      <c r="J132" s="41">
        <v>1</v>
      </c>
      <c r="K132" s="42"/>
      <c r="L132" s="42">
        <v>5000</v>
      </c>
      <c r="M132" s="42" t="s">
        <v>458</v>
      </c>
    </row>
    <row r="133" spans="1:13" ht="30">
      <c r="A133" s="40">
        <v>3</v>
      </c>
      <c r="B133" s="39" t="s">
        <v>87</v>
      </c>
      <c r="C133" s="43" t="s">
        <v>544</v>
      </c>
      <c r="D133" s="43" t="s">
        <v>545</v>
      </c>
      <c r="E133" s="43">
        <v>2210</v>
      </c>
      <c r="F133" s="40"/>
      <c r="G133" s="40">
        <v>1113</v>
      </c>
      <c r="H133" s="39" t="s">
        <v>547</v>
      </c>
      <c r="I133" s="39" t="s">
        <v>12</v>
      </c>
      <c r="J133" s="41">
        <v>2</v>
      </c>
      <c r="K133" s="42"/>
      <c r="L133" s="42">
        <f>5000+2200</f>
        <v>7200</v>
      </c>
      <c r="M133" s="42" t="s">
        <v>458</v>
      </c>
    </row>
    <row r="134" spans="1:13" ht="30" hidden="1">
      <c r="A134" s="40">
        <v>4</v>
      </c>
      <c r="B134" s="39" t="s">
        <v>87</v>
      </c>
      <c r="C134" s="43" t="s">
        <v>544</v>
      </c>
      <c r="D134" s="43" t="s">
        <v>545</v>
      </c>
      <c r="E134" s="43"/>
      <c r="F134" s="40"/>
      <c r="G134" s="40"/>
      <c r="H134" s="39"/>
      <c r="I134" s="39"/>
      <c r="J134" s="41"/>
      <c r="K134" s="42"/>
      <c r="L134" s="42"/>
      <c r="M134" s="42" t="s">
        <v>458</v>
      </c>
    </row>
    <row r="135" spans="1:13">
      <c r="A135" s="45"/>
      <c r="B135" s="46"/>
      <c r="C135" s="47"/>
      <c r="D135" s="47"/>
      <c r="E135" s="47"/>
      <c r="F135" s="45"/>
      <c r="G135" s="45"/>
      <c r="H135" s="46" t="s">
        <v>14</v>
      </c>
      <c r="I135" s="46"/>
      <c r="J135" s="48"/>
      <c r="K135" s="49"/>
      <c r="L135" s="49">
        <f>SUM(L131:L134)</f>
        <v>21960</v>
      </c>
      <c r="M135" s="46">
        <f>SUM(M131:M134)</f>
        <v>0</v>
      </c>
    </row>
    <row r="136" spans="1:13" hidden="1">
      <c r="A136" s="50">
        <v>1</v>
      </c>
      <c r="B136" s="51" t="s">
        <v>48</v>
      </c>
      <c r="C136" s="43"/>
      <c r="D136" s="43"/>
      <c r="E136" s="43"/>
      <c r="F136" s="40"/>
      <c r="G136" s="40"/>
      <c r="H136" s="39"/>
      <c r="I136" s="39"/>
      <c r="J136" s="41"/>
      <c r="K136" s="42"/>
      <c r="L136" s="42"/>
      <c r="M136" s="42" t="s">
        <v>458</v>
      </c>
    </row>
    <row r="137" spans="1:13" hidden="1">
      <c r="A137" s="45"/>
      <c r="B137" s="46"/>
      <c r="C137" s="47"/>
      <c r="D137" s="47"/>
      <c r="E137" s="47"/>
      <c r="F137" s="45"/>
      <c r="G137" s="45"/>
      <c r="H137" s="46" t="s">
        <v>14</v>
      </c>
      <c r="I137" s="46"/>
      <c r="J137" s="48"/>
      <c r="K137" s="49"/>
      <c r="L137" s="49">
        <f>SUM(L136:L136)</f>
        <v>0</v>
      </c>
      <c r="M137" s="46">
        <f>SUM(M136:M136)</f>
        <v>0</v>
      </c>
    </row>
    <row r="138" spans="1:13" ht="30">
      <c r="A138" s="40">
        <v>1</v>
      </c>
      <c r="B138" s="39" t="s">
        <v>75</v>
      </c>
      <c r="C138" s="43" t="s">
        <v>400</v>
      </c>
      <c r="D138" s="43" t="s">
        <v>400</v>
      </c>
      <c r="E138" s="43">
        <v>7520</v>
      </c>
      <c r="F138" s="40"/>
      <c r="G138" s="40">
        <v>1113</v>
      </c>
      <c r="H138" s="39" t="s">
        <v>531</v>
      </c>
      <c r="I138" s="39" t="s">
        <v>12</v>
      </c>
      <c r="J138" s="41">
        <v>30</v>
      </c>
      <c r="K138" s="42"/>
      <c r="L138" s="42">
        <v>540930</v>
      </c>
      <c r="M138" s="42" t="s">
        <v>458</v>
      </c>
    </row>
    <row r="139" spans="1:13" hidden="1">
      <c r="A139" s="40">
        <v>2</v>
      </c>
      <c r="B139" s="39" t="s">
        <v>75</v>
      </c>
      <c r="C139" s="43"/>
      <c r="D139" s="43"/>
      <c r="E139" s="43"/>
      <c r="F139" s="40"/>
      <c r="G139" s="40"/>
      <c r="H139" s="39"/>
      <c r="I139" s="39"/>
      <c r="J139" s="48"/>
      <c r="K139" s="42"/>
      <c r="L139" s="49"/>
      <c r="M139" s="42" t="s">
        <v>459</v>
      </c>
    </row>
    <row r="140" spans="1:13" hidden="1">
      <c r="A140" s="40">
        <v>3</v>
      </c>
      <c r="B140" s="39" t="s">
        <v>75</v>
      </c>
      <c r="C140" s="43"/>
      <c r="D140" s="43"/>
      <c r="E140" s="43"/>
      <c r="F140" s="40"/>
      <c r="G140" s="40"/>
      <c r="H140" s="39"/>
      <c r="I140" s="39"/>
      <c r="J140" s="48"/>
      <c r="K140" s="42"/>
      <c r="L140" s="49"/>
      <c r="M140" s="42" t="s">
        <v>459</v>
      </c>
    </row>
    <row r="141" spans="1:13" hidden="1">
      <c r="A141" s="40">
        <v>4</v>
      </c>
      <c r="B141" s="39" t="s">
        <v>75</v>
      </c>
      <c r="C141" s="43"/>
      <c r="D141" s="43"/>
      <c r="E141" s="43"/>
      <c r="F141" s="40"/>
      <c r="G141" s="40"/>
      <c r="H141" s="39"/>
      <c r="I141" s="39"/>
      <c r="J141" s="48"/>
      <c r="K141" s="42"/>
      <c r="L141" s="49"/>
      <c r="M141" s="42" t="s">
        <v>459</v>
      </c>
    </row>
    <row r="142" spans="1:13" hidden="1">
      <c r="A142" s="40">
        <v>5</v>
      </c>
      <c r="B142" s="39" t="s">
        <v>75</v>
      </c>
      <c r="C142" s="43"/>
      <c r="D142" s="43"/>
      <c r="E142" s="43"/>
      <c r="F142" s="40"/>
      <c r="G142" s="40"/>
      <c r="H142" s="39"/>
      <c r="I142" s="39"/>
      <c r="J142" s="48"/>
      <c r="K142" s="42"/>
      <c r="L142" s="49"/>
      <c r="M142" s="42" t="s">
        <v>459</v>
      </c>
    </row>
    <row r="143" spans="1:13" hidden="1">
      <c r="A143" s="40">
        <v>6</v>
      </c>
      <c r="B143" s="39" t="s">
        <v>75</v>
      </c>
      <c r="C143" s="43"/>
      <c r="D143" s="43"/>
      <c r="E143" s="43"/>
      <c r="F143" s="40"/>
      <c r="G143" s="40"/>
      <c r="H143" s="39"/>
      <c r="I143" s="39"/>
      <c r="J143" s="48"/>
      <c r="K143" s="42"/>
      <c r="L143" s="49"/>
      <c r="M143" s="42" t="s">
        <v>459</v>
      </c>
    </row>
    <row r="144" spans="1:13" hidden="1">
      <c r="A144" s="40">
        <v>7</v>
      </c>
      <c r="B144" s="39" t="s">
        <v>75</v>
      </c>
      <c r="C144" s="43"/>
      <c r="D144" s="43"/>
      <c r="E144" s="43"/>
      <c r="F144" s="40"/>
      <c r="G144" s="40"/>
      <c r="H144" s="39"/>
      <c r="I144" s="39"/>
      <c r="J144" s="48"/>
      <c r="K144" s="42"/>
      <c r="L144" s="49"/>
      <c r="M144" s="42" t="s">
        <v>459</v>
      </c>
    </row>
    <row r="145" spans="1:13" hidden="1">
      <c r="A145" s="40">
        <v>8</v>
      </c>
      <c r="B145" s="39" t="s">
        <v>75</v>
      </c>
      <c r="C145" s="43"/>
      <c r="D145" s="43"/>
      <c r="E145" s="43"/>
      <c r="F145" s="40"/>
      <c r="G145" s="40"/>
      <c r="H145" s="39"/>
      <c r="I145" s="39"/>
      <c r="J145" s="48"/>
      <c r="K145" s="42"/>
      <c r="L145" s="49"/>
      <c r="M145" s="42" t="s">
        <v>459</v>
      </c>
    </row>
    <row r="146" spans="1:13" hidden="1">
      <c r="A146" s="40">
        <v>9</v>
      </c>
      <c r="B146" s="39" t="s">
        <v>75</v>
      </c>
      <c r="C146" s="43"/>
      <c r="D146" s="43"/>
      <c r="E146" s="43"/>
      <c r="F146" s="40"/>
      <c r="G146" s="40"/>
      <c r="H146" s="39"/>
      <c r="I146" s="39"/>
      <c r="J146" s="48"/>
      <c r="K146" s="42"/>
      <c r="L146" s="49"/>
      <c r="M146" s="42" t="s">
        <v>459</v>
      </c>
    </row>
    <row r="147" spans="1:13" hidden="1">
      <c r="A147" s="40">
        <v>10</v>
      </c>
      <c r="B147" s="39" t="s">
        <v>75</v>
      </c>
      <c r="C147" s="43"/>
      <c r="D147" s="43"/>
      <c r="E147" s="43"/>
      <c r="F147" s="40"/>
      <c r="G147" s="40"/>
      <c r="H147" s="39"/>
      <c r="I147" s="39"/>
      <c r="J147" s="48"/>
      <c r="K147" s="42"/>
      <c r="L147" s="49"/>
      <c r="M147" s="42" t="s">
        <v>459</v>
      </c>
    </row>
    <row r="148" spans="1:13" hidden="1">
      <c r="A148" s="40">
        <v>11</v>
      </c>
      <c r="B148" s="39" t="s">
        <v>75</v>
      </c>
      <c r="C148" s="43"/>
      <c r="D148" s="43"/>
      <c r="E148" s="43"/>
      <c r="F148" s="40"/>
      <c r="G148" s="40"/>
      <c r="H148" s="39"/>
      <c r="I148" s="39"/>
      <c r="J148" s="48"/>
      <c r="K148" s="42"/>
      <c r="L148" s="49"/>
      <c r="M148" s="42" t="s">
        <v>459</v>
      </c>
    </row>
    <row r="149" spans="1:13" hidden="1">
      <c r="A149" s="40">
        <v>12</v>
      </c>
      <c r="B149" s="39" t="s">
        <v>75</v>
      </c>
      <c r="C149" s="43"/>
      <c r="D149" s="43"/>
      <c r="E149" s="43"/>
      <c r="F149" s="40"/>
      <c r="G149" s="40"/>
      <c r="H149" s="39"/>
      <c r="I149" s="39"/>
      <c r="J149" s="48"/>
      <c r="K149" s="42"/>
      <c r="L149" s="49"/>
      <c r="M149" s="42" t="s">
        <v>459</v>
      </c>
    </row>
    <row r="150" spans="1:13" hidden="1">
      <c r="A150" s="40">
        <v>13</v>
      </c>
      <c r="B150" s="39" t="s">
        <v>75</v>
      </c>
      <c r="C150" s="43"/>
      <c r="D150" s="43"/>
      <c r="E150" s="43"/>
      <c r="F150" s="40"/>
      <c r="G150" s="40"/>
      <c r="H150" s="39"/>
      <c r="I150" s="39"/>
      <c r="J150" s="48"/>
      <c r="K150" s="42"/>
      <c r="L150" s="49"/>
      <c r="M150" s="42" t="s">
        <v>459</v>
      </c>
    </row>
    <row r="151" spans="1:13" hidden="1">
      <c r="A151" s="40">
        <v>14</v>
      </c>
      <c r="B151" s="39" t="s">
        <v>75</v>
      </c>
      <c r="C151" s="43"/>
      <c r="D151" s="43"/>
      <c r="E151" s="43"/>
      <c r="F151" s="40"/>
      <c r="G151" s="40"/>
      <c r="H151" s="39"/>
      <c r="I151" s="39"/>
      <c r="J151" s="48"/>
      <c r="K151" s="42"/>
      <c r="L151" s="49"/>
      <c r="M151" s="42" t="s">
        <v>459</v>
      </c>
    </row>
    <row r="152" spans="1:13" hidden="1">
      <c r="A152" s="40">
        <v>15</v>
      </c>
      <c r="B152" s="39" t="s">
        <v>75</v>
      </c>
      <c r="C152" s="43"/>
      <c r="D152" s="43"/>
      <c r="E152" s="43"/>
      <c r="F152" s="40"/>
      <c r="G152" s="40"/>
      <c r="H152" s="39"/>
      <c r="I152" s="39"/>
      <c r="J152" s="48"/>
      <c r="K152" s="42"/>
      <c r="L152" s="49"/>
      <c r="M152" s="42" t="s">
        <v>459</v>
      </c>
    </row>
    <row r="153" spans="1:13" hidden="1">
      <c r="A153" s="40">
        <v>16</v>
      </c>
      <c r="B153" s="39" t="s">
        <v>75</v>
      </c>
      <c r="C153" s="43"/>
      <c r="D153" s="43"/>
      <c r="E153" s="43"/>
      <c r="F153" s="40"/>
      <c r="G153" s="40"/>
      <c r="H153" s="39"/>
      <c r="I153" s="39"/>
      <c r="J153" s="48"/>
      <c r="K153" s="42"/>
      <c r="L153" s="49"/>
      <c r="M153" s="42" t="s">
        <v>459</v>
      </c>
    </row>
    <row r="154" spans="1:13" hidden="1">
      <c r="A154" s="40">
        <v>17</v>
      </c>
      <c r="B154" s="39" t="s">
        <v>75</v>
      </c>
      <c r="C154" s="43"/>
      <c r="D154" s="43"/>
      <c r="E154" s="43"/>
      <c r="F154" s="40"/>
      <c r="G154" s="40"/>
      <c r="H154" s="39"/>
      <c r="I154" s="39"/>
      <c r="J154" s="48"/>
      <c r="K154" s="42"/>
      <c r="L154" s="49"/>
      <c r="M154" s="42" t="s">
        <v>459</v>
      </c>
    </row>
    <row r="155" spans="1:13" hidden="1">
      <c r="A155" s="40">
        <v>18</v>
      </c>
      <c r="B155" s="39" t="s">
        <v>75</v>
      </c>
      <c r="C155" s="43"/>
      <c r="D155" s="43"/>
      <c r="E155" s="43"/>
      <c r="F155" s="40"/>
      <c r="G155" s="40"/>
      <c r="H155" s="39"/>
      <c r="I155" s="39"/>
      <c r="J155" s="48"/>
      <c r="K155" s="42"/>
      <c r="L155" s="49"/>
      <c r="M155" s="42" t="s">
        <v>459</v>
      </c>
    </row>
    <row r="156" spans="1:13" hidden="1">
      <c r="A156" s="40">
        <v>19</v>
      </c>
      <c r="B156" s="39" t="s">
        <v>75</v>
      </c>
      <c r="C156" s="43"/>
      <c r="D156" s="43"/>
      <c r="E156" s="43"/>
      <c r="F156" s="40"/>
      <c r="G156" s="40"/>
      <c r="H156" s="39"/>
      <c r="I156" s="39"/>
      <c r="J156" s="48"/>
      <c r="K156" s="42"/>
      <c r="L156" s="49"/>
      <c r="M156" s="42" t="s">
        <v>459</v>
      </c>
    </row>
    <row r="157" spans="1:13" hidden="1">
      <c r="A157" s="40">
        <v>20</v>
      </c>
      <c r="B157" s="39" t="s">
        <v>75</v>
      </c>
      <c r="C157" s="43"/>
      <c r="D157" s="43"/>
      <c r="E157" s="43"/>
      <c r="F157" s="40"/>
      <c r="G157" s="40"/>
      <c r="H157" s="39"/>
      <c r="I157" s="39"/>
      <c r="J157" s="48"/>
      <c r="K157" s="42"/>
      <c r="L157" s="49"/>
      <c r="M157" s="42" t="s">
        <v>459</v>
      </c>
    </row>
    <row r="158" spans="1:13" hidden="1">
      <c r="A158" s="40">
        <v>21</v>
      </c>
      <c r="B158" s="39" t="s">
        <v>75</v>
      </c>
      <c r="C158" s="43"/>
      <c r="D158" s="43"/>
      <c r="E158" s="43"/>
      <c r="F158" s="40"/>
      <c r="G158" s="40"/>
      <c r="H158" s="39"/>
      <c r="I158" s="39"/>
      <c r="J158" s="48"/>
      <c r="K158" s="42"/>
      <c r="L158" s="49"/>
      <c r="M158" s="42" t="s">
        <v>459</v>
      </c>
    </row>
    <row r="159" spans="1:13" hidden="1">
      <c r="A159" s="40">
        <v>22</v>
      </c>
      <c r="B159" s="39" t="s">
        <v>75</v>
      </c>
      <c r="C159" s="43"/>
      <c r="D159" s="43"/>
      <c r="E159" s="43"/>
      <c r="F159" s="40"/>
      <c r="G159" s="40"/>
      <c r="H159" s="39"/>
      <c r="I159" s="39"/>
      <c r="J159" s="48"/>
      <c r="K159" s="42"/>
      <c r="L159" s="49"/>
      <c r="M159" s="42" t="s">
        <v>459</v>
      </c>
    </row>
    <row r="160" spans="1:13" hidden="1">
      <c r="A160" s="40">
        <v>23</v>
      </c>
      <c r="B160" s="39" t="s">
        <v>75</v>
      </c>
      <c r="C160" s="43"/>
      <c r="D160" s="43"/>
      <c r="E160" s="43"/>
      <c r="F160" s="40"/>
      <c r="G160" s="40"/>
      <c r="H160" s="39"/>
      <c r="I160" s="39"/>
      <c r="J160" s="48"/>
      <c r="K160" s="42"/>
      <c r="L160" s="49"/>
      <c r="M160" s="42" t="s">
        <v>459</v>
      </c>
    </row>
    <row r="161" spans="1:13" hidden="1">
      <c r="A161" s="40">
        <v>24</v>
      </c>
      <c r="B161" s="39" t="s">
        <v>75</v>
      </c>
      <c r="C161" s="43"/>
      <c r="D161" s="43"/>
      <c r="E161" s="43"/>
      <c r="F161" s="40"/>
      <c r="G161" s="40"/>
      <c r="H161" s="39"/>
      <c r="I161" s="39"/>
      <c r="J161" s="48"/>
      <c r="K161" s="42"/>
      <c r="L161" s="49"/>
      <c r="M161" s="42" t="s">
        <v>459</v>
      </c>
    </row>
    <row r="162" spans="1:13" hidden="1">
      <c r="A162" s="40">
        <v>25</v>
      </c>
      <c r="B162" s="39" t="s">
        <v>75</v>
      </c>
      <c r="C162" s="43"/>
      <c r="D162" s="43"/>
      <c r="E162" s="43"/>
      <c r="F162" s="40"/>
      <c r="G162" s="40"/>
      <c r="H162" s="39"/>
      <c r="I162" s="39"/>
      <c r="J162" s="48"/>
      <c r="K162" s="42"/>
      <c r="L162" s="49"/>
      <c r="M162" s="42" t="s">
        <v>459</v>
      </c>
    </row>
    <row r="163" spans="1:13" hidden="1">
      <c r="A163" s="40">
        <v>26</v>
      </c>
      <c r="B163" s="39" t="s">
        <v>75</v>
      </c>
      <c r="C163" s="43"/>
      <c r="D163" s="43"/>
      <c r="E163" s="43"/>
      <c r="F163" s="40"/>
      <c r="G163" s="40"/>
      <c r="H163" s="39"/>
      <c r="I163" s="39"/>
      <c r="J163" s="48"/>
      <c r="K163" s="42"/>
      <c r="L163" s="49"/>
      <c r="M163" s="42" t="s">
        <v>459</v>
      </c>
    </row>
    <row r="164" spans="1:13" hidden="1">
      <c r="A164" s="40">
        <v>27</v>
      </c>
      <c r="B164" s="39" t="s">
        <v>75</v>
      </c>
      <c r="C164" s="43"/>
      <c r="D164" s="43"/>
      <c r="E164" s="43"/>
      <c r="F164" s="40"/>
      <c r="G164" s="40"/>
      <c r="H164" s="39"/>
      <c r="I164" s="39"/>
      <c r="J164" s="48"/>
      <c r="K164" s="42"/>
      <c r="L164" s="49"/>
      <c r="M164" s="42" t="s">
        <v>459</v>
      </c>
    </row>
    <row r="165" spans="1:13" hidden="1">
      <c r="A165" s="40">
        <v>28</v>
      </c>
      <c r="B165" s="39" t="s">
        <v>75</v>
      </c>
      <c r="C165" s="43"/>
      <c r="D165" s="43"/>
      <c r="E165" s="43"/>
      <c r="F165" s="40"/>
      <c r="G165" s="40"/>
      <c r="H165" s="39"/>
      <c r="I165" s="39"/>
      <c r="J165" s="48"/>
      <c r="K165" s="42"/>
      <c r="L165" s="49"/>
      <c r="M165" s="42" t="s">
        <v>459</v>
      </c>
    </row>
    <row r="166" spans="1:13" hidden="1">
      <c r="A166" s="40">
        <v>29</v>
      </c>
      <c r="B166" s="39" t="s">
        <v>75</v>
      </c>
      <c r="C166" s="43"/>
      <c r="D166" s="43"/>
      <c r="E166" s="43"/>
      <c r="F166" s="40"/>
      <c r="G166" s="40"/>
      <c r="H166" s="39"/>
      <c r="I166" s="39"/>
      <c r="J166" s="48"/>
      <c r="K166" s="42"/>
      <c r="L166" s="49"/>
      <c r="M166" s="42" t="s">
        <v>459</v>
      </c>
    </row>
    <row r="167" spans="1:13" hidden="1">
      <c r="A167" s="40">
        <v>30</v>
      </c>
      <c r="B167" s="39" t="s">
        <v>75</v>
      </c>
      <c r="C167" s="43"/>
      <c r="D167" s="43"/>
      <c r="E167" s="43"/>
      <c r="F167" s="40"/>
      <c r="G167" s="40"/>
      <c r="H167" s="39"/>
      <c r="I167" s="39"/>
      <c r="J167" s="48"/>
      <c r="K167" s="42"/>
      <c r="L167" s="49"/>
      <c r="M167" s="42" t="s">
        <v>459</v>
      </c>
    </row>
    <row r="168" spans="1:13" hidden="1">
      <c r="A168" s="40">
        <v>31</v>
      </c>
      <c r="B168" s="39" t="s">
        <v>75</v>
      </c>
      <c r="C168" s="43"/>
      <c r="D168" s="43"/>
      <c r="E168" s="43"/>
      <c r="F168" s="40"/>
      <c r="G168" s="40"/>
      <c r="H168" s="39"/>
      <c r="I168" s="39"/>
      <c r="J168" s="48"/>
      <c r="K168" s="42"/>
      <c r="L168" s="49"/>
      <c r="M168" s="42" t="s">
        <v>459</v>
      </c>
    </row>
    <row r="169" spans="1:13" hidden="1">
      <c r="A169" s="40">
        <v>32</v>
      </c>
      <c r="B169" s="39" t="s">
        <v>75</v>
      </c>
      <c r="C169" s="43"/>
      <c r="D169" s="43"/>
      <c r="E169" s="43"/>
      <c r="F169" s="40"/>
      <c r="G169" s="40"/>
      <c r="H169" s="39"/>
      <c r="I169" s="39"/>
      <c r="J169" s="48"/>
      <c r="K169" s="42"/>
      <c r="L169" s="49"/>
      <c r="M169" s="42" t="s">
        <v>459</v>
      </c>
    </row>
    <row r="170" spans="1:13" hidden="1">
      <c r="A170" s="40">
        <v>33</v>
      </c>
      <c r="B170" s="39" t="s">
        <v>75</v>
      </c>
      <c r="C170" s="43"/>
      <c r="D170" s="43"/>
      <c r="E170" s="43"/>
      <c r="F170" s="40"/>
      <c r="G170" s="40"/>
      <c r="H170" s="39"/>
      <c r="I170" s="39"/>
      <c r="J170" s="48"/>
      <c r="K170" s="42"/>
      <c r="L170" s="49"/>
      <c r="M170" s="42" t="s">
        <v>459</v>
      </c>
    </row>
    <row r="171" spans="1:13" hidden="1">
      <c r="A171" s="40">
        <v>34</v>
      </c>
      <c r="B171" s="39" t="s">
        <v>75</v>
      </c>
      <c r="C171" s="43"/>
      <c r="D171" s="43"/>
      <c r="E171" s="43"/>
      <c r="F171" s="40"/>
      <c r="G171" s="40"/>
      <c r="H171" s="39"/>
      <c r="I171" s="39"/>
      <c r="J171" s="48"/>
      <c r="K171" s="42"/>
      <c r="L171" s="49"/>
      <c r="M171" s="42" t="s">
        <v>459</v>
      </c>
    </row>
    <row r="172" spans="1:13" hidden="1">
      <c r="A172" s="40">
        <v>35</v>
      </c>
      <c r="B172" s="39" t="s">
        <v>75</v>
      </c>
      <c r="C172" s="43"/>
      <c r="D172" s="43"/>
      <c r="E172" s="43"/>
      <c r="F172" s="40"/>
      <c r="G172" s="40"/>
      <c r="H172" s="39"/>
      <c r="I172" s="39"/>
      <c r="J172" s="48"/>
      <c r="K172" s="42"/>
      <c r="L172" s="49"/>
      <c r="M172" s="42" t="s">
        <v>459</v>
      </c>
    </row>
    <row r="173" spans="1:13" hidden="1">
      <c r="A173" s="40">
        <v>36</v>
      </c>
      <c r="B173" s="39" t="s">
        <v>75</v>
      </c>
      <c r="C173" s="43"/>
      <c r="D173" s="43"/>
      <c r="E173" s="43"/>
      <c r="F173" s="40"/>
      <c r="G173" s="40"/>
      <c r="H173" s="39"/>
      <c r="I173" s="39"/>
      <c r="J173" s="48"/>
      <c r="K173" s="42"/>
      <c r="L173" s="49"/>
      <c r="M173" s="42" t="s">
        <v>459</v>
      </c>
    </row>
    <row r="174" spans="1:13" hidden="1">
      <c r="A174" s="40">
        <v>37</v>
      </c>
      <c r="B174" s="39" t="s">
        <v>75</v>
      </c>
      <c r="C174" s="43"/>
      <c r="D174" s="43"/>
      <c r="E174" s="43"/>
      <c r="F174" s="40"/>
      <c r="G174" s="40"/>
      <c r="H174" s="39"/>
      <c r="I174" s="39"/>
      <c r="J174" s="48"/>
      <c r="K174" s="42"/>
      <c r="L174" s="49"/>
      <c r="M174" s="42" t="s">
        <v>459</v>
      </c>
    </row>
    <row r="175" spans="1:13" hidden="1">
      <c r="A175" s="40">
        <v>38</v>
      </c>
      <c r="B175" s="39" t="s">
        <v>75</v>
      </c>
      <c r="C175" s="43"/>
      <c r="D175" s="43"/>
      <c r="E175" s="43"/>
      <c r="F175" s="40"/>
      <c r="G175" s="40"/>
      <c r="H175" s="39"/>
      <c r="I175" s="39"/>
      <c r="J175" s="48"/>
      <c r="K175" s="42"/>
      <c r="L175" s="49"/>
      <c r="M175" s="42" t="s">
        <v>459</v>
      </c>
    </row>
    <row r="176" spans="1:13" hidden="1">
      <c r="A176" s="40">
        <v>39</v>
      </c>
      <c r="B176" s="39" t="s">
        <v>75</v>
      </c>
      <c r="C176" s="43"/>
      <c r="D176" s="43"/>
      <c r="E176" s="43"/>
      <c r="F176" s="40"/>
      <c r="G176" s="40"/>
      <c r="H176" s="39"/>
      <c r="I176" s="39"/>
      <c r="J176" s="48"/>
      <c r="K176" s="42"/>
      <c r="L176" s="49"/>
      <c r="M176" s="42" t="s">
        <v>459</v>
      </c>
    </row>
    <row r="177" spans="1:13" hidden="1">
      <c r="A177" s="40">
        <v>40</v>
      </c>
      <c r="B177" s="39" t="s">
        <v>75</v>
      </c>
      <c r="C177" s="43"/>
      <c r="D177" s="43"/>
      <c r="E177" s="43"/>
      <c r="F177" s="40"/>
      <c r="G177" s="40"/>
      <c r="H177" s="39"/>
      <c r="I177" s="39"/>
      <c r="J177" s="48"/>
      <c r="K177" s="42"/>
      <c r="L177" s="49"/>
      <c r="M177" s="42" t="s">
        <v>459</v>
      </c>
    </row>
    <row r="178" spans="1:13" hidden="1">
      <c r="A178" s="40">
        <v>41</v>
      </c>
      <c r="B178" s="39" t="s">
        <v>75</v>
      </c>
      <c r="C178" s="43"/>
      <c r="D178" s="43"/>
      <c r="E178" s="43"/>
      <c r="F178" s="40"/>
      <c r="G178" s="40"/>
      <c r="H178" s="39"/>
      <c r="I178" s="39"/>
      <c r="J178" s="48"/>
      <c r="K178" s="42"/>
      <c r="L178" s="49"/>
      <c r="M178" s="42" t="s">
        <v>459</v>
      </c>
    </row>
    <row r="179" spans="1:13" hidden="1">
      <c r="A179" s="40">
        <v>42</v>
      </c>
      <c r="B179" s="39" t="s">
        <v>75</v>
      </c>
      <c r="C179" s="43"/>
      <c r="D179" s="43"/>
      <c r="E179" s="43"/>
      <c r="F179" s="40"/>
      <c r="G179" s="40"/>
      <c r="H179" s="39"/>
      <c r="I179" s="39"/>
      <c r="J179" s="48"/>
      <c r="K179" s="42"/>
      <c r="L179" s="49"/>
      <c r="M179" s="42" t="s">
        <v>459</v>
      </c>
    </row>
    <row r="180" spans="1:13" hidden="1">
      <c r="A180" s="40">
        <v>43</v>
      </c>
      <c r="B180" s="39" t="s">
        <v>75</v>
      </c>
      <c r="C180" s="43"/>
      <c r="D180" s="43"/>
      <c r="E180" s="43"/>
      <c r="F180" s="40"/>
      <c r="G180" s="40"/>
      <c r="H180" s="39"/>
      <c r="I180" s="39"/>
      <c r="J180" s="48"/>
      <c r="K180" s="42"/>
      <c r="L180" s="49"/>
      <c r="M180" s="42" t="s">
        <v>459</v>
      </c>
    </row>
    <row r="181" spans="1:13" hidden="1">
      <c r="A181" s="40">
        <v>44</v>
      </c>
      <c r="B181" s="39" t="s">
        <v>75</v>
      </c>
      <c r="C181" s="43"/>
      <c r="D181" s="43"/>
      <c r="E181" s="43"/>
      <c r="F181" s="40"/>
      <c r="G181" s="40"/>
      <c r="H181" s="39"/>
      <c r="I181" s="39"/>
      <c r="J181" s="48"/>
      <c r="K181" s="42"/>
      <c r="L181" s="49"/>
      <c r="M181" s="42" t="s">
        <v>459</v>
      </c>
    </row>
    <row r="182" spans="1:13" hidden="1">
      <c r="A182" s="40">
        <v>45</v>
      </c>
      <c r="B182" s="39" t="s">
        <v>75</v>
      </c>
      <c r="C182" s="43"/>
      <c r="D182" s="43"/>
      <c r="E182" s="43"/>
      <c r="F182" s="40"/>
      <c r="G182" s="40"/>
      <c r="H182" s="39"/>
      <c r="I182" s="39"/>
      <c r="J182" s="48"/>
      <c r="K182" s="42"/>
      <c r="L182" s="49"/>
      <c r="M182" s="42" t="s">
        <v>459</v>
      </c>
    </row>
    <row r="183" spans="1:13" hidden="1">
      <c r="A183" s="40">
        <v>46</v>
      </c>
      <c r="B183" s="39" t="s">
        <v>75</v>
      </c>
      <c r="C183" s="43"/>
      <c r="D183" s="43"/>
      <c r="E183" s="43"/>
      <c r="F183" s="40"/>
      <c r="G183" s="40"/>
      <c r="H183" s="39"/>
      <c r="I183" s="39"/>
      <c r="J183" s="48"/>
      <c r="K183" s="42"/>
      <c r="L183" s="49"/>
      <c r="M183" s="42" t="s">
        <v>459</v>
      </c>
    </row>
    <row r="184" spans="1:13" hidden="1">
      <c r="A184" s="40">
        <v>47</v>
      </c>
      <c r="B184" s="39" t="s">
        <v>75</v>
      </c>
      <c r="C184" s="43"/>
      <c r="D184" s="43"/>
      <c r="E184" s="43"/>
      <c r="F184" s="40"/>
      <c r="G184" s="40"/>
      <c r="H184" s="39"/>
      <c r="I184" s="39"/>
      <c r="J184" s="48"/>
      <c r="K184" s="42"/>
      <c r="L184" s="49"/>
      <c r="M184" s="42" t="s">
        <v>459</v>
      </c>
    </row>
    <row r="185" spans="1:13" hidden="1">
      <c r="A185" s="40">
        <v>48</v>
      </c>
      <c r="B185" s="39" t="s">
        <v>75</v>
      </c>
      <c r="C185" s="43"/>
      <c r="D185" s="43"/>
      <c r="E185" s="43"/>
      <c r="F185" s="40"/>
      <c r="G185" s="40"/>
      <c r="H185" s="39"/>
      <c r="I185" s="39"/>
      <c r="J185" s="48"/>
      <c r="K185" s="42"/>
      <c r="L185" s="49"/>
      <c r="M185" s="42" t="s">
        <v>459</v>
      </c>
    </row>
    <row r="186" spans="1:13" hidden="1">
      <c r="A186" s="40">
        <v>49</v>
      </c>
      <c r="B186" s="39" t="s">
        <v>75</v>
      </c>
      <c r="C186" s="43"/>
      <c r="D186" s="43"/>
      <c r="E186" s="43"/>
      <c r="F186" s="40"/>
      <c r="G186" s="40"/>
      <c r="H186" s="39"/>
      <c r="I186" s="39"/>
      <c r="J186" s="48"/>
      <c r="K186" s="42"/>
      <c r="L186" s="49"/>
      <c r="M186" s="42" t="s">
        <v>459</v>
      </c>
    </row>
    <row r="187" spans="1:13" hidden="1">
      <c r="A187" s="40">
        <v>50</v>
      </c>
      <c r="B187" s="39" t="s">
        <v>75</v>
      </c>
      <c r="C187" s="43"/>
      <c r="D187" s="43"/>
      <c r="E187" s="43"/>
      <c r="F187" s="40"/>
      <c r="G187" s="40"/>
      <c r="H187" s="39"/>
      <c r="I187" s="39"/>
      <c r="J187" s="41"/>
      <c r="K187" s="42"/>
      <c r="L187" s="42"/>
      <c r="M187" s="39" t="s">
        <v>459</v>
      </c>
    </row>
    <row r="188" spans="1:13">
      <c r="A188" s="45"/>
      <c r="B188" s="46"/>
      <c r="C188" s="47"/>
      <c r="D188" s="47"/>
      <c r="E188" s="47"/>
      <c r="F188" s="45"/>
      <c r="G188" s="45"/>
      <c r="H188" s="46" t="s">
        <v>14</v>
      </c>
      <c r="I188" s="46"/>
      <c r="J188" s="48"/>
      <c r="K188" s="49"/>
      <c r="L188" s="49">
        <f>SUM(L138:L187)</f>
        <v>540930</v>
      </c>
      <c r="M188" s="46">
        <f>SUM(M138:M187)</f>
        <v>0</v>
      </c>
    </row>
    <row r="189" spans="1:13">
      <c r="A189" s="50">
        <v>1</v>
      </c>
      <c r="B189" s="51" t="s">
        <v>55</v>
      </c>
      <c r="C189" s="43" t="s">
        <v>247</v>
      </c>
      <c r="D189" s="43" t="s">
        <v>247</v>
      </c>
      <c r="E189" s="43">
        <v>2210</v>
      </c>
      <c r="F189" s="40"/>
      <c r="G189" s="40">
        <v>1113</v>
      </c>
      <c r="H189" s="39" t="s">
        <v>516</v>
      </c>
      <c r="I189" s="39" t="s">
        <v>12</v>
      </c>
      <c r="J189" s="41">
        <v>1</v>
      </c>
      <c r="K189" s="42"/>
      <c r="L189" s="42">
        <v>1500</v>
      </c>
      <c r="M189" s="42" t="s">
        <v>458</v>
      </c>
    </row>
    <row r="190" spans="1:13">
      <c r="A190" s="45"/>
      <c r="B190" s="46"/>
      <c r="C190" s="47"/>
      <c r="D190" s="47"/>
      <c r="E190" s="47"/>
      <c r="F190" s="45"/>
      <c r="G190" s="45"/>
      <c r="H190" s="46" t="s">
        <v>14</v>
      </c>
      <c r="I190" s="46"/>
      <c r="J190" s="48"/>
      <c r="K190" s="49"/>
      <c r="L190" s="49">
        <f>SUM(L189:L189)</f>
        <v>1500</v>
      </c>
      <c r="M190" s="46"/>
    </row>
    <row r="191" spans="1:13">
      <c r="A191" s="50"/>
      <c r="B191" s="51" t="s">
        <v>548</v>
      </c>
      <c r="C191" s="43" t="s">
        <v>247</v>
      </c>
      <c r="D191" s="43" t="s">
        <v>247</v>
      </c>
      <c r="E191" s="43">
        <v>2210</v>
      </c>
      <c r="F191" s="40"/>
      <c r="G191" s="40">
        <v>1113</v>
      </c>
      <c r="H191" s="39" t="s">
        <v>516</v>
      </c>
      <c r="I191" s="39" t="s">
        <v>12</v>
      </c>
      <c r="J191" s="41">
        <v>1</v>
      </c>
      <c r="K191" s="42"/>
      <c r="L191" s="42">
        <v>1500</v>
      </c>
      <c r="M191" s="42" t="s">
        <v>458</v>
      </c>
    </row>
    <row r="192" spans="1:13" s="57" customFormat="1" hidden="1">
      <c r="A192" s="50"/>
      <c r="B192" s="51"/>
      <c r="C192" s="43"/>
      <c r="D192" s="43"/>
      <c r="E192" s="43"/>
      <c r="F192" s="40"/>
      <c r="G192" s="40"/>
      <c r="H192" s="39"/>
      <c r="I192" s="39"/>
      <c r="J192" s="41"/>
      <c r="K192" s="42"/>
      <c r="L192" s="42"/>
      <c r="M192" s="42" t="s">
        <v>458</v>
      </c>
    </row>
    <row r="193" spans="1:15">
      <c r="A193" s="45"/>
      <c r="B193" s="46"/>
      <c r="C193" s="47"/>
      <c r="D193" s="47"/>
      <c r="E193" s="47"/>
      <c r="F193" s="45"/>
      <c r="G193" s="45"/>
      <c r="H193" s="46" t="s">
        <v>14</v>
      </c>
      <c r="I193" s="46"/>
      <c r="J193" s="48"/>
      <c r="K193" s="49"/>
      <c r="L193" s="49">
        <f>SUM(L191:L192)</f>
        <v>1500</v>
      </c>
      <c r="M193" s="46"/>
    </row>
    <row r="194" spans="1:15">
      <c r="A194" s="40">
        <v>1</v>
      </c>
      <c r="B194" s="39" t="s">
        <v>54</v>
      </c>
      <c r="C194" s="43" t="s">
        <v>247</v>
      </c>
      <c r="D194" s="43" t="s">
        <v>247</v>
      </c>
      <c r="E194" s="43">
        <v>2210</v>
      </c>
      <c r="F194" s="40"/>
      <c r="G194" s="40">
        <v>1113</v>
      </c>
      <c r="H194" s="39" t="s">
        <v>516</v>
      </c>
      <c r="I194" s="39" t="s">
        <v>12</v>
      </c>
      <c r="J194" s="41">
        <v>2</v>
      </c>
      <c r="K194" s="42"/>
      <c r="L194" s="42">
        <v>900</v>
      </c>
      <c r="M194" s="39"/>
    </row>
    <row r="195" spans="1:15">
      <c r="A195" s="45"/>
      <c r="B195" s="46"/>
      <c r="C195" s="47"/>
      <c r="D195" s="47"/>
      <c r="E195" s="47"/>
      <c r="F195" s="45"/>
      <c r="G195" s="45"/>
      <c r="H195" s="46" t="s">
        <v>14</v>
      </c>
      <c r="I195" s="46"/>
      <c r="J195" s="48"/>
      <c r="K195" s="49"/>
      <c r="L195" s="49">
        <f>SUM(L194:L194)</f>
        <v>900</v>
      </c>
      <c r="M195" s="46">
        <f>SUM(M194:M194)</f>
        <v>0</v>
      </c>
    </row>
    <row r="196" spans="1:15">
      <c r="A196" s="59"/>
      <c r="B196" s="114">
        <v>611021</v>
      </c>
      <c r="C196" s="115" t="s">
        <v>549</v>
      </c>
      <c r="D196" s="115"/>
      <c r="E196" s="115"/>
      <c r="F196" s="114"/>
      <c r="G196" s="114"/>
      <c r="H196" s="116"/>
      <c r="I196" s="116"/>
      <c r="J196" s="117"/>
      <c r="K196" s="118"/>
      <c r="L196" s="118">
        <f>L195+L193+L190+L188+L135+L126+L112+L101+L81+L57+L55+L87</f>
        <v>763416.12</v>
      </c>
      <c r="M196" s="42" t="s">
        <v>458</v>
      </c>
      <c r="N196" s="38">
        <f>763416.12</f>
        <v>763416.12</v>
      </c>
      <c r="O196" s="44">
        <f>L196-N196</f>
        <v>0</v>
      </c>
    </row>
    <row r="197" spans="1:15">
      <c r="A197" s="50"/>
      <c r="B197" s="51" t="s">
        <v>345</v>
      </c>
      <c r="C197" s="43" t="s">
        <v>247</v>
      </c>
      <c r="D197" s="43" t="s">
        <v>247</v>
      </c>
      <c r="E197" s="43">
        <v>2210</v>
      </c>
      <c r="F197" s="40"/>
      <c r="G197" s="40">
        <v>1113</v>
      </c>
      <c r="H197" s="39" t="s">
        <v>550</v>
      </c>
      <c r="I197" s="39" t="s">
        <v>12</v>
      </c>
      <c r="J197" s="41">
        <v>1</v>
      </c>
      <c r="K197" s="42">
        <v>6500</v>
      </c>
      <c r="L197" s="42">
        <v>6500</v>
      </c>
      <c r="M197" s="42" t="s">
        <v>458</v>
      </c>
    </row>
    <row r="198" spans="1:15">
      <c r="A198" s="50">
        <v>13</v>
      </c>
      <c r="B198" s="51" t="s">
        <v>345</v>
      </c>
      <c r="C198" s="43" t="s">
        <v>247</v>
      </c>
      <c r="D198" s="43" t="s">
        <v>247</v>
      </c>
      <c r="E198" s="43">
        <v>2210</v>
      </c>
      <c r="F198" s="40"/>
      <c r="G198" s="40">
        <v>1113</v>
      </c>
      <c r="H198" s="39" t="s">
        <v>550</v>
      </c>
      <c r="I198" s="39" t="s">
        <v>12</v>
      </c>
      <c r="J198" s="41">
        <v>1</v>
      </c>
      <c r="K198" s="42">
        <v>6000</v>
      </c>
      <c r="L198" s="42">
        <v>6000</v>
      </c>
      <c r="M198" s="42" t="s">
        <v>458</v>
      </c>
    </row>
    <row r="199" spans="1:15">
      <c r="A199" s="45"/>
      <c r="B199" s="46"/>
      <c r="C199" s="47"/>
      <c r="D199" s="47"/>
      <c r="E199" s="47"/>
      <c r="F199" s="45"/>
      <c r="G199" s="45"/>
      <c r="H199" s="46" t="s">
        <v>14</v>
      </c>
      <c r="I199" s="46"/>
      <c r="J199" s="48"/>
      <c r="K199" s="49"/>
      <c r="L199" s="49">
        <f>SUM(L197:L198)</f>
        <v>12500</v>
      </c>
      <c r="M199" s="46">
        <f>SUM(M196:M198)</f>
        <v>0</v>
      </c>
    </row>
    <row r="200" spans="1:15">
      <c r="A200" s="59"/>
      <c r="B200" s="114">
        <v>611010</v>
      </c>
      <c r="C200" s="115" t="s">
        <v>551</v>
      </c>
      <c r="D200" s="115"/>
      <c r="E200" s="115"/>
      <c r="F200" s="114"/>
      <c r="G200" s="114"/>
      <c r="H200" s="116"/>
      <c r="I200" s="116"/>
      <c r="J200" s="117"/>
      <c r="K200" s="118"/>
      <c r="L200" s="118">
        <f>L199</f>
        <v>12500</v>
      </c>
      <c r="M200" s="42" t="s">
        <v>458</v>
      </c>
    </row>
    <row r="201" spans="1:15" ht="44.25" customHeight="1">
      <c r="A201" s="50"/>
      <c r="B201" s="51" t="s">
        <v>552</v>
      </c>
      <c r="C201" s="43" t="s">
        <v>553</v>
      </c>
      <c r="D201" s="43" t="s">
        <v>553</v>
      </c>
      <c r="E201" s="43">
        <v>2210</v>
      </c>
      <c r="F201" s="40"/>
      <c r="G201" s="40">
        <v>1113</v>
      </c>
      <c r="H201" s="39" t="s">
        <v>554</v>
      </c>
      <c r="I201" s="39" t="s">
        <v>12</v>
      </c>
      <c r="J201" s="41">
        <v>2</v>
      </c>
      <c r="K201" s="42">
        <v>1505</v>
      </c>
      <c r="L201" s="42">
        <v>3010</v>
      </c>
      <c r="M201" s="42" t="s">
        <v>458</v>
      </c>
    </row>
    <row r="202" spans="1:15" ht="40.5" customHeight="1">
      <c r="A202" s="50"/>
      <c r="B202" s="51" t="s">
        <v>552</v>
      </c>
      <c r="C202" s="43" t="s">
        <v>553</v>
      </c>
      <c r="D202" s="43" t="s">
        <v>553</v>
      </c>
      <c r="E202" s="43">
        <v>2210</v>
      </c>
      <c r="F202" s="40"/>
      <c r="G202" s="40">
        <v>1113</v>
      </c>
      <c r="H202" s="39" t="s">
        <v>555</v>
      </c>
      <c r="I202" s="39" t="s">
        <v>12</v>
      </c>
      <c r="J202" s="41">
        <v>8</v>
      </c>
      <c r="K202" s="42">
        <v>370</v>
      </c>
      <c r="L202" s="42">
        <v>2960</v>
      </c>
      <c r="M202" s="42"/>
    </row>
    <row r="203" spans="1:15" ht="18" customHeight="1">
      <c r="A203" s="50"/>
      <c r="B203" s="51" t="s">
        <v>552</v>
      </c>
      <c r="C203" s="43" t="s">
        <v>553</v>
      </c>
      <c r="D203" s="43" t="s">
        <v>553</v>
      </c>
      <c r="E203" s="43">
        <v>2210</v>
      </c>
      <c r="F203" s="40"/>
      <c r="G203" s="40">
        <v>1113</v>
      </c>
      <c r="H203" s="39" t="s">
        <v>555</v>
      </c>
      <c r="I203" s="39" t="s">
        <v>12</v>
      </c>
      <c r="J203" s="41">
        <v>8</v>
      </c>
      <c r="K203" s="42">
        <v>495</v>
      </c>
      <c r="L203" s="42">
        <v>3960</v>
      </c>
      <c r="M203" s="42"/>
    </row>
    <row r="204" spans="1:15" ht="18" customHeight="1">
      <c r="A204" s="50"/>
      <c r="B204" s="51" t="s">
        <v>552</v>
      </c>
      <c r="C204" s="43" t="s">
        <v>553</v>
      </c>
      <c r="D204" s="43" t="s">
        <v>553</v>
      </c>
      <c r="E204" s="43">
        <v>2210</v>
      </c>
      <c r="F204" s="40"/>
      <c r="G204" s="40">
        <v>1113</v>
      </c>
      <c r="H204" s="39" t="s">
        <v>556</v>
      </c>
      <c r="I204" s="39" t="s">
        <v>12</v>
      </c>
      <c r="J204" s="41">
        <v>8</v>
      </c>
      <c r="K204" s="42">
        <v>450</v>
      </c>
      <c r="L204" s="42">
        <v>3600</v>
      </c>
      <c r="M204" s="42"/>
    </row>
    <row r="205" spans="1:15" ht="18" customHeight="1">
      <c r="A205" s="50"/>
      <c r="B205" s="51" t="s">
        <v>552</v>
      </c>
      <c r="C205" s="43" t="s">
        <v>553</v>
      </c>
      <c r="D205" s="43" t="s">
        <v>553</v>
      </c>
      <c r="E205" s="43">
        <v>2210</v>
      </c>
      <c r="F205" s="40"/>
      <c r="G205" s="40">
        <v>1113</v>
      </c>
      <c r="H205" s="39" t="s">
        <v>557</v>
      </c>
      <c r="I205" s="39" t="s">
        <v>12</v>
      </c>
      <c r="J205" s="41">
        <v>1</v>
      </c>
      <c r="K205" s="42">
        <v>525</v>
      </c>
      <c r="L205" s="42">
        <v>525</v>
      </c>
      <c r="M205" s="42"/>
    </row>
    <row r="206" spans="1:15" ht="18" customHeight="1">
      <c r="A206" s="50"/>
      <c r="B206" s="51" t="s">
        <v>552</v>
      </c>
      <c r="C206" s="43" t="s">
        <v>553</v>
      </c>
      <c r="D206" s="43" t="s">
        <v>553</v>
      </c>
      <c r="E206" s="43">
        <v>2210</v>
      </c>
      <c r="F206" s="40"/>
      <c r="G206" s="40">
        <v>1113</v>
      </c>
      <c r="H206" s="39" t="s">
        <v>557</v>
      </c>
      <c r="I206" s="39" t="s">
        <v>12</v>
      </c>
      <c r="J206" s="41">
        <v>7</v>
      </c>
      <c r="K206" s="42">
        <v>618</v>
      </c>
      <c r="L206" s="42">
        <v>4326</v>
      </c>
      <c r="M206" s="42" t="s">
        <v>458</v>
      </c>
    </row>
    <row r="207" spans="1:15" ht="18" customHeight="1">
      <c r="A207" s="50"/>
      <c r="B207" s="51" t="s">
        <v>552</v>
      </c>
      <c r="C207" s="43" t="s">
        <v>553</v>
      </c>
      <c r="D207" s="43" t="s">
        <v>553</v>
      </c>
      <c r="E207" s="43">
        <v>2210</v>
      </c>
      <c r="F207" s="40"/>
      <c r="G207" s="40">
        <v>1113</v>
      </c>
      <c r="H207" s="39" t="s">
        <v>558</v>
      </c>
      <c r="I207" s="39" t="s">
        <v>12</v>
      </c>
      <c r="J207" s="41">
        <v>7</v>
      </c>
      <c r="K207" s="42">
        <v>317</v>
      </c>
      <c r="L207" s="42">
        <v>2219</v>
      </c>
      <c r="M207" s="42"/>
    </row>
    <row r="208" spans="1:15" ht="18" customHeight="1">
      <c r="A208" s="50"/>
      <c r="B208" s="51" t="s">
        <v>552</v>
      </c>
      <c r="C208" s="43" t="s">
        <v>553</v>
      </c>
      <c r="D208" s="43" t="s">
        <v>553</v>
      </c>
      <c r="E208" s="43">
        <v>2210</v>
      </c>
      <c r="F208" s="40"/>
      <c r="G208" s="40">
        <v>1113</v>
      </c>
      <c r="H208" s="39" t="s">
        <v>558</v>
      </c>
      <c r="I208" s="39" t="s">
        <v>12</v>
      </c>
      <c r="J208" s="41">
        <v>1</v>
      </c>
      <c r="K208" s="42">
        <v>316</v>
      </c>
      <c r="L208" s="42">
        <v>316</v>
      </c>
      <c r="M208" s="42"/>
    </row>
    <row r="209" spans="1:13">
      <c r="A209" s="45"/>
      <c r="B209" s="46"/>
      <c r="C209" s="47"/>
      <c r="D209" s="47"/>
      <c r="E209" s="47"/>
      <c r="F209" s="45"/>
      <c r="G209" s="45"/>
      <c r="H209" s="46" t="s">
        <v>14</v>
      </c>
      <c r="I209" s="46"/>
      <c r="J209" s="48"/>
      <c r="K209" s="49"/>
      <c r="L209" s="49">
        <f>SUM(L201:L208)</f>
        <v>20916</v>
      </c>
      <c r="M209" s="46">
        <f>SUM(M200:M206)</f>
        <v>0</v>
      </c>
    </row>
    <row r="210" spans="1:13">
      <c r="A210" s="59"/>
      <c r="B210" s="114">
        <v>611070</v>
      </c>
      <c r="C210" s="113" t="s">
        <v>559</v>
      </c>
      <c r="D210" s="113"/>
      <c r="E210" s="113"/>
      <c r="F210" s="59"/>
      <c r="G210" s="59"/>
      <c r="H210" s="58"/>
      <c r="I210" s="58"/>
      <c r="J210" s="60"/>
      <c r="K210" s="61"/>
      <c r="L210" s="61">
        <f>L209</f>
        <v>20916</v>
      </c>
      <c r="M210" s="42" t="s">
        <v>458</v>
      </c>
    </row>
    <row r="211" spans="1:13">
      <c r="A211" s="50"/>
      <c r="B211" s="119" t="s">
        <v>85</v>
      </c>
      <c r="C211" s="108" t="s">
        <v>247</v>
      </c>
      <c r="D211" s="108" t="s">
        <v>247</v>
      </c>
      <c r="E211" s="108">
        <v>2210</v>
      </c>
      <c r="F211" s="50"/>
      <c r="G211" s="50" t="s">
        <v>11</v>
      </c>
      <c r="H211" s="51" t="s">
        <v>560</v>
      </c>
      <c r="I211" s="51" t="s">
        <v>12</v>
      </c>
      <c r="J211" s="53">
        <v>5</v>
      </c>
      <c r="K211" s="52">
        <v>12</v>
      </c>
      <c r="L211" s="52">
        <v>60</v>
      </c>
      <c r="M211" s="42"/>
    </row>
    <row r="212" spans="1:13">
      <c r="A212" s="50"/>
      <c r="B212" s="119" t="s">
        <v>85</v>
      </c>
      <c r="C212" s="108" t="s">
        <v>247</v>
      </c>
      <c r="D212" s="108" t="s">
        <v>247</v>
      </c>
      <c r="E212" s="108">
        <v>2210</v>
      </c>
      <c r="F212" s="50"/>
      <c r="G212" s="50" t="s">
        <v>11</v>
      </c>
      <c r="H212" s="51" t="s">
        <v>90</v>
      </c>
      <c r="I212" s="51" t="s">
        <v>12</v>
      </c>
      <c r="J212" s="53">
        <v>1</v>
      </c>
      <c r="K212" s="52">
        <v>0.5</v>
      </c>
      <c r="L212" s="52">
        <v>0.5</v>
      </c>
      <c r="M212" s="42"/>
    </row>
    <row r="213" spans="1:13">
      <c r="A213" s="50"/>
      <c r="B213" s="119" t="s">
        <v>85</v>
      </c>
      <c r="C213" s="108" t="s">
        <v>247</v>
      </c>
      <c r="D213" s="108" t="s">
        <v>247</v>
      </c>
      <c r="E213" s="108">
        <v>2210</v>
      </c>
      <c r="F213" s="50"/>
      <c r="G213" s="50" t="s">
        <v>11</v>
      </c>
      <c r="H213" s="51" t="s">
        <v>89</v>
      </c>
      <c r="I213" s="51" t="s">
        <v>12</v>
      </c>
      <c r="J213" s="53">
        <v>3</v>
      </c>
      <c r="K213" s="52">
        <v>15</v>
      </c>
      <c r="L213" s="52">
        <v>45</v>
      </c>
      <c r="M213" s="42"/>
    </row>
    <row r="214" spans="1:13">
      <c r="A214" s="59"/>
      <c r="B214" s="114"/>
      <c r="C214" s="113"/>
      <c r="D214" s="113"/>
      <c r="E214" s="113"/>
      <c r="F214" s="59"/>
      <c r="G214" s="59"/>
      <c r="H214" s="58"/>
      <c r="I214" s="58"/>
      <c r="J214" s="60"/>
      <c r="K214" s="61"/>
      <c r="L214" s="61">
        <f>SUM(L211:L213)</f>
        <v>105.5</v>
      </c>
      <c r="M214" s="42"/>
    </row>
    <row r="215" spans="1:13">
      <c r="A215" s="59"/>
      <c r="B215" s="58"/>
      <c r="C215" s="58" t="s">
        <v>307</v>
      </c>
      <c r="D215" s="58"/>
      <c r="E215" s="58"/>
      <c r="F215" s="59"/>
      <c r="G215" s="59"/>
      <c r="H215" s="58"/>
      <c r="I215" s="58"/>
      <c r="J215" s="60"/>
      <c r="K215" s="61"/>
      <c r="L215" s="63">
        <f>L214+L210+L200+L196</f>
        <v>796937.62</v>
      </c>
      <c r="M215" s="58"/>
    </row>
    <row r="217" spans="1:13">
      <c r="B217" s="38" t="s">
        <v>77</v>
      </c>
    </row>
  </sheetData>
  <mergeCells count="6">
    <mergeCell ref="A1:M1"/>
    <mergeCell ref="J4:J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rowBreaks count="1" manualBreakCount="1">
    <brk id="196" max="16383" man="1"/>
  </rowBreaks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O159"/>
  <sheetViews>
    <sheetView topLeftCell="A118" workbookViewId="0">
      <selection activeCell="I128" sqref="I128:I129"/>
    </sheetView>
  </sheetViews>
  <sheetFormatPr defaultRowHeight="15"/>
  <cols>
    <col min="1" max="1" width="3.85546875" style="62" customWidth="1"/>
    <col min="2" max="2" width="26.140625" style="38" customWidth="1"/>
    <col min="3" max="3" width="20" style="38" customWidth="1"/>
    <col min="4" max="4" width="22.140625" style="38" customWidth="1"/>
    <col min="5" max="5" width="14.28515625" style="38" customWidth="1"/>
    <col min="6" max="6" width="10.28515625" style="62" hidden="1" customWidth="1"/>
    <col min="7" max="7" width="10.28515625" style="62" customWidth="1"/>
    <col min="8" max="8" width="12.7109375" style="62" customWidth="1"/>
    <col min="9" max="9" width="37.140625" style="38" customWidth="1"/>
    <col min="10" max="10" width="7" style="38" customWidth="1"/>
    <col min="11" max="11" width="9.140625" style="64" customWidth="1"/>
    <col min="12" max="12" width="14.7109375" style="44" customWidth="1"/>
    <col min="13" max="13" width="13.85546875" style="44" customWidth="1"/>
    <col min="14" max="14" width="22.85546875" style="38" hidden="1" customWidth="1"/>
    <col min="15" max="15" width="20.7109375" style="38" customWidth="1"/>
    <col min="16" max="16384" width="9.140625" style="38"/>
  </cols>
  <sheetData>
    <row r="1" spans="1:14" ht="18.75">
      <c r="A1" s="179" t="s">
        <v>604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67.5" customHeight="1">
      <c r="A2" s="125" t="s">
        <v>0</v>
      </c>
      <c r="B2" s="126" t="s">
        <v>1</v>
      </c>
      <c r="C2" s="126" t="s">
        <v>2</v>
      </c>
      <c r="D2" s="126" t="s">
        <v>456</v>
      </c>
      <c r="E2" s="126" t="s">
        <v>412</v>
      </c>
      <c r="F2" s="126" t="s">
        <v>66</v>
      </c>
      <c r="G2" s="126" t="s">
        <v>66</v>
      </c>
      <c r="H2" s="126" t="s">
        <v>4</v>
      </c>
      <c r="I2" s="126" t="s">
        <v>5</v>
      </c>
      <c r="J2" s="125" t="s">
        <v>6</v>
      </c>
      <c r="K2" s="127" t="s">
        <v>7</v>
      </c>
      <c r="L2" s="128" t="s">
        <v>8</v>
      </c>
      <c r="M2" s="128" t="s">
        <v>9</v>
      </c>
      <c r="N2" s="89" t="s">
        <v>67</v>
      </c>
    </row>
    <row r="3" spans="1:14" ht="50.25" customHeight="1">
      <c r="A3" s="40">
        <v>1</v>
      </c>
      <c r="B3" s="39" t="s">
        <v>68</v>
      </c>
      <c r="C3" s="43" t="s">
        <v>562</v>
      </c>
      <c r="D3" s="43" t="s">
        <v>563</v>
      </c>
      <c r="E3" s="43">
        <v>2210</v>
      </c>
      <c r="F3" s="40"/>
      <c r="G3" s="122" t="s">
        <v>564</v>
      </c>
      <c r="H3" s="40">
        <v>1113</v>
      </c>
      <c r="I3" s="39" t="s">
        <v>401</v>
      </c>
      <c r="J3" s="39" t="s">
        <v>12</v>
      </c>
      <c r="K3" s="41">
        <v>10</v>
      </c>
      <c r="L3" s="42">
        <v>19593.45</v>
      </c>
      <c r="M3" s="42">
        <v>195934.5</v>
      </c>
      <c r="N3" s="42" t="s">
        <v>458</v>
      </c>
    </row>
    <row r="4" spans="1:14">
      <c r="A4" s="40">
        <v>2</v>
      </c>
      <c r="B4" s="39" t="s">
        <v>68</v>
      </c>
      <c r="C4" s="43" t="s">
        <v>568</v>
      </c>
      <c r="D4" s="43" t="s">
        <v>569</v>
      </c>
      <c r="E4" s="43">
        <v>2230</v>
      </c>
      <c r="F4" s="40"/>
      <c r="G4" s="122" t="s">
        <v>570</v>
      </c>
      <c r="H4" s="122" t="s">
        <v>411</v>
      </c>
      <c r="I4" s="124" t="s">
        <v>571</v>
      </c>
      <c r="J4" s="39" t="s">
        <v>12</v>
      </c>
      <c r="K4" s="41">
        <v>8</v>
      </c>
      <c r="L4" s="42">
        <v>80</v>
      </c>
      <c r="M4" s="42">
        <v>640</v>
      </c>
      <c r="N4" s="39" t="s">
        <v>459</v>
      </c>
    </row>
    <row r="5" spans="1:14">
      <c r="A5" s="40">
        <v>3</v>
      </c>
      <c r="B5" s="39" t="s">
        <v>68</v>
      </c>
      <c r="C5" s="43" t="s">
        <v>562</v>
      </c>
      <c r="D5" s="43" t="s">
        <v>461</v>
      </c>
      <c r="E5" s="43">
        <v>2210</v>
      </c>
      <c r="F5" s="40"/>
      <c r="G5" s="122" t="s">
        <v>567</v>
      </c>
      <c r="H5" s="122" t="s">
        <v>572</v>
      </c>
      <c r="I5" s="124" t="s">
        <v>573</v>
      </c>
      <c r="J5" s="39" t="s">
        <v>12</v>
      </c>
      <c r="K5" s="41">
        <v>5</v>
      </c>
      <c r="L5" s="42">
        <v>8.1</v>
      </c>
      <c r="M5" s="42">
        <v>40.5</v>
      </c>
      <c r="N5" s="39" t="s">
        <v>459</v>
      </c>
    </row>
    <row r="6" spans="1:14">
      <c r="A6" s="40">
        <v>4</v>
      </c>
      <c r="B6" s="39" t="s">
        <v>68</v>
      </c>
      <c r="C6" s="43" t="s">
        <v>562</v>
      </c>
      <c r="D6" s="43" t="s">
        <v>461</v>
      </c>
      <c r="E6" s="43">
        <v>2210</v>
      </c>
      <c r="F6" s="40"/>
      <c r="G6" s="122" t="s">
        <v>567</v>
      </c>
      <c r="H6" s="122" t="s">
        <v>572</v>
      </c>
      <c r="I6" s="124" t="s">
        <v>574</v>
      </c>
      <c r="J6" s="39" t="s">
        <v>12</v>
      </c>
      <c r="K6" s="41">
        <v>1</v>
      </c>
      <c r="L6" s="42">
        <v>4.45</v>
      </c>
      <c r="M6" s="42">
        <v>4.45</v>
      </c>
      <c r="N6" s="39" t="s">
        <v>459</v>
      </c>
    </row>
    <row r="7" spans="1:14">
      <c r="A7" s="45"/>
      <c r="B7" s="46"/>
      <c r="C7" s="47"/>
      <c r="D7" s="47"/>
      <c r="E7" s="47"/>
      <c r="F7" s="45"/>
      <c r="G7" s="45"/>
      <c r="H7" s="45"/>
      <c r="I7" s="46" t="s">
        <v>14</v>
      </c>
      <c r="J7" s="46"/>
      <c r="K7" s="48"/>
      <c r="L7" s="49"/>
      <c r="M7" s="49">
        <f>SUM(M3:M6)</f>
        <v>196619.45</v>
      </c>
      <c r="N7" s="49">
        <f>SUM(N3:N6)</f>
        <v>0</v>
      </c>
    </row>
    <row r="8" spans="1:14" ht="49.5" customHeight="1">
      <c r="A8" s="50"/>
      <c r="B8" s="51" t="s">
        <v>78</v>
      </c>
      <c r="C8" s="43" t="s">
        <v>562</v>
      </c>
      <c r="D8" s="43" t="s">
        <v>563</v>
      </c>
      <c r="E8" s="43">
        <v>2210</v>
      </c>
      <c r="F8" s="40"/>
      <c r="G8" s="122" t="s">
        <v>564</v>
      </c>
      <c r="H8" s="40">
        <v>1113</v>
      </c>
      <c r="I8" s="39" t="s">
        <v>401</v>
      </c>
      <c r="J8" s="39" t="s">
        <v>12</v>
      </c>
      <c r="K8" s="41">
        <v>10</v>
      </c>
      <c r="L8" s="42">
        <v>19593.45</v>
      </c>
      <c r="M8" s="42">
        <v>195934.5</v>
      </c>
      <c r="N8" s="42" t="s">
        <v>458</v>
      </c>
    </row>
    <row r="9" spans="1:14">
      <c r="A9" s="50"/>
      <c r="B9" s="51" t="s">
        <v>78</v>
      </c>
      <c r="C9" s="43" t="s">
        <v>562</v>
      </c>
      <c r="D9" s="43" t="s">
        <v>461</v>
      </c>
      <c r="E9" s="43">
        <v>2210</v>
      </c>
      <c r="F9" s="40"/>
      <c r="G9" s="122" t="s">
        <v>567</v>
      </c>
      <c r="H9" s="122" t="s">
        <v>572</v>
      </c>
      <c r="I9" s="124" t="s">
        <v>573</v>
      </c>
      <c r="J9" s="39" t="s">
        <v>12</v>
      </c>
      <c r="K9" s="41">
        <v>3</v>
      </c>
      <c r="L9" s="42">
        <v>8.1</v>
      </c>
      <c r="M9" s="42">
        <v>24.3</v>
      </c>
      <c r="N9" s="42"/>
    </row>
    <row r="10" spans="1:14">
      <c r="A10" s="50"/>
      <c r="B10" s="51" t="s">
        <v>78</v>
      </c>
      <c r="C10" s="43" t="s">
        <v>562</v>
      </c>
      <c r="D10" s="43" t="s">
        <v>461</v>
      </c>
      <c r="E10" s="43">
        <v>2210</v>
      </c>
      <c r="F10" s="40"/>
      <c r="G10" s="122" t="s">
        <v>567</v>
      </c>
      <c r="H10" s="122" t="s">
        <v>572</v>
      </c>
      <c r="I10" s="124" t="s">
        <v>574</v>
      </c>
      <c r="J10" s="39" t="s">
        <v>12</v>
      </c>
      <c r="K10" s="41">
        <v>1</v>
      </c>
      <c r="L10" s="42">
        <v>4.45</v>
      </c>
      <c r="M10" s="42">
        <v>4.45</v>
      </c>
      <c r="N10" s="42"/>
    </row>
    <row r="11" spans="1:14">
      <c r="A11" s="45"/>
      <c r="B11" s="46"/>
      <c r="C11" s="47"/>
      <c r="D11" s="47"/>
      <c r="E11" s="47"/>
      <c r="F11" s="45"/>
      <c r="G11" s="45"/>
      <c r="H11" s="45"/>
      <c r="I11" s="46" t="s">
        <v>14</v>
      </c>
      <c r="J11" s="46"/>
      <c r="K11" s="48"/>
      <c r="L11" s="49"/>
      <c r="M11" s="49">
        <f>SUM(M8:N10)</f>
        <v>195963.25</v>
      </c>
      <c r="N11" s="46"/>
    </row>
    <row r="12" spans="1:14" ht="44.25" customHeight="1">
      <c r="A12" s="40">
        <v>1</v>
      </c>
      <c r="B12" s="39" t="s">
        <v>31</v>
      </c>
      <c r="C12" s="43" t="s">
        <v>562</v>
      </c>
      <c r="D12" s="43" t="s">
        <v>563</v>
      </c>
      <c r="E12" s="43">
        <v>2210</v>
      </c>
      <c r="F12" s="40"/>
      <c r="G12" s="122" t="s">
        <v>564</v>
      </c>
      <c r="H12" s="40">
        <v>1113</v>
      </c>
      <c r="I12" s="39" t="s">
        <v>401</v>
      </c>
      <c r="J12" s="39" t="s">
        <v>12</v>
      </c>
      <c r="K12" s="41">
        <v>20</v>
      </c>
      <c r="L12" s="42">
        <v>19593.45</v>
      </c>
      <c r="M12" s="42">
        <v>391869</v>
      </c>
      <c r="N12" s="42" t="s">
        <v>458</v>
      </c>
    </row>
    <row r="13" spans="1:14">
      <c r="A13" s="40">
        <v>2</v>
      </c>
      <c r="B13" s="39" t="s">
        <v>31</v>
      </c>
      <c r="C13" s="43" t="s">
        <v>72</v>
      </c>
      <c r="D13" s="43"/>
      <c r="E13" s="43">
        <v>3110</v>
      </c>
      <c r="F13" s="40"/>
      <c r="G13" s="122" t="s">
        <v>567</v>
      </c>
      <c r="H13" s="40">
        <v>1112</v>
      </c>
      <c r="I13" s="39" t="s">
        <v>344</v>
      </c>
      <c r="J13" s="39" t="s">
        <v>12</v>
      </c>
      <c r="K13" s="41">
        <v>61</v>
      </c>
      <c r="L13" s="42"/>
      <c r="M13" s="42">
        <v>8234.39</v>
      </c>
      <c r="N13" s="42" t="s">
        <v>458</v>
      </c>
    </row>
    <row r="14" spans="1:14">
      <c r="A14" s="40">
        <v>3</v>
      </c>
      <c r="B14" s="39" t="s">
        <v>31</v>
      </c>
      <c r="C14" s="43" t="s">
        <v>562</v>
      </c>
      <c r="D14" s="43" t="s">
        <v>461</v>
      </c>
      <c r="E14" s="43">
        <v>2210</v>
      </c>
      <c r="F14" s="40"/>
      <c r="G14" s="122" t="s">
        <v>567</v>
      </c>
      <c r="H14" s="122" t="s">
        <v>572</v>
      </c>
      <c r="I14" s="124" t="s">
        <v>573</v>
      </c>
      <c r="J14" s="39" t="s">
        <v>12</v>
      </c>
      <c r="K14" s="41">
        <v>3</v>
      </c>
      <c r="L14" s="42">
        <v>8.1</v>
      </c>
      <c r="M14" s="42">
        <v>24.3</v>
      </c>
      <c r="N14" s="42" t="s">
        <v>458</v>
      </c>
    </row>
    <row r="15" spans="1:14">
      <c r="A15" s="40">
        <v>4</v>
      </c>
      <c r="B15" s="39" t="s">
        <v>31</v>
      </c>
      <c r="C15" s="43" t="s">
        <v>562</v>
      </c>
      <c r="D15" s="43" t="s">
        <v>461</v>
      </c>
      <c r="E15" s="43">
        <v>2210</v>
      </c>
      <c r="F15" s="40"/>
      <c r="G15" s="122" t="s">
        <v>567</v>
      </c>
      <c r="H15" s="122" t="s">
        <v>572</v>
      </c>
      <c r="I15" s="124" t="s">
        <v>574</v>
      </c>
      <c r="J15" s="39" t="s">
        <v>12</v>
      </c>
      <c r="K15" s="41">
        <v>1</v>
      </c>
      <c r="L15" s="42">
        <v>4.45</v>
      </c>
      <c r="M15" s="42">
        <v>4.45</v>
      </c>
      <c r="N15" s="42" t="s">
        <v>458</v>
      </c>
    </row>
    <row r="16" spans="1:14">
      <c r="A16" s="45"/>
      <c r="B16" s="46"/>
      <c r="C16" s="47"/>
      <c r="D16" s="47"/>
      <c r="E16" s="47"/>
      <c r="F16" s="45"/>
      <c r="G16" s="45"/>
      <c r="H16" s="45"/>
      <c r="I16" s="46" t="s">
        <v>14</v>
      </c>
      <c r="J16" s="46"/>
      <c r="K16" s="48"/>
      <c r="L16" s="49"/>
      <c r="M16" s="49">
        <f>SUM(M12:M15)</f>
        <v>400132.14</v>
      </c>
      <c r="N16" s="49">
        <f>SUM(N12:N15)</f>
        <v>0</v>
      </c>
    </row>
    <row r="17" spans="1:14" ht="48.75" customHeight="1">
      <c r="A17" s="40">
        <v>3</v>
      </c>
      <c r="B17" s="39" t="s">
        <v>34</v>
      </c>
      <c r="C17" s="43" t="s">
        <v>562</v>
      </c>
      <c r="D17" s="43" t="s">
        <v>563</v>
      </c>
      <c r="E17" s="43">
        <v>2210</v>
      </c>
      <c r="F17" s="40"/>
      <c r="G17" s="122" t="s">
        <v>564</v>
      </c>
      <c r="H17" s="40">
        <v>1113</v>
      </c>
      <c r="I17" s="39" t="s">
        <v>401</v>
      </c>
      <c r="J17" s="39" t="s">
        <v>12</v>
      </c>
      <c r="K17" s="41">
        <v>10</v>
      </c>
      <c r="L17" s="42">
        <v>19593.45</v>
      </c>
      <c r="M17" s="42">
        <v>195934.5</v>
      </c>
      <c r="N17" s="42" t="s">
        <v>458</v>
      </c>
    </row>
    <row r="18" spans="1:14">
      <c r="A18" s="40"/>
      <c r="B18" s="39" t="s">
        <v>34</v>
      </c>
      <c r="C18" s="43" t="s">
        <v>72</v>
      </c>
      <c r="D18" s="43"/>
      <c r="E18" s="43">
        <v>3110</v>
      </c>
      <c r="F18" s="40"/>
      <c r="G18" s="122" t="s">
        <v>567</v>
      </c>
      <c r="H18" s="40">
        <v>1112</v>
      </c>
      <c r="I18" s="39" t="s">
        <v>344</v>
      </c>
      <c r="J18" s="39" t="s">
        <v>12</v>
      </c>
      <c r="K18" s="41">
        <v>93</v>
      </c>
      <c r="L18" s="42"/>
      <c r="M18" s="42">
        <v>11373.9</v>
      </c>
      <c r="N18" s="42" t="s">
        <v>458</v>
      </c>
    </row>
    <row r="19" spans="1:14">
      <c r="A19" s="40"/>
      <c r="B19" s="39"/>
      <c r="C19" s="43" t="s">
        <v>562</v>
      </c>
      <c r="D19" s="43" t="s">
        <v>461</v>
      </c>
      <c r="E19" s="43">
        <v>2210</v>
      </c>
      <c r="F19" s="40"/>
      <c r="G19" s="122" t="s">
        <v>567</v>
      </c>
      <c r="H19" s="122" t="s">
        <v>572</v>
      </c>
      <c r="I19" s="124" t="s">
        <v>573</v>
      </c>
      <c r="J19" s="39" t="s">
        <v>12</v>
      </c>
      <c r="K19" s="41">
        <v>3</v>
      </c>
      <c r="L19" s="42">
        <v>8.1</v>
      </c>
      <c r="M19" s="42">
        <v>24.3</v>
      </c>
      <c r="N19" s="42"/>
    </row>
    <row r="20" spans="1:14">
      <c r="A20" s="40"/>
      <c r="B20" s="39"/>
      <c r="C20" s="43" t="s">
        <v>562</v>
      </c>
      <c r="D20" s="43" t="s">
        <v>461</v>
      </c>
      <c r="E20" s="43">
        <v>2210</v>
      </c>
      <c r="F20" s="40"/>
      <c r="G20" s="122" t="s">
        <v>567</v>
      </c>
      <c r="H20" s="122" t="s">
        <v>572</v>
      </c>
      <c r="I20" s="124" t="s">
        <v>574</v>
      </c>
      <c r="J20" s="39" t="s">
        <v>12</v>
      </c>
      <c r="K20" s="41">
        <v>1</v>
      </c>
      <c r="L20" s="42">
        <v>4.45</v>
      </c>
      <c r="M20" s="42">
        <v>4.45</v>
      </c>
      <c r="N20" s="42"/>
    </row>
    <row r="21" spans="1:14">
      <c r="A21" s="45"/>
      <c r="B21" s="46"/>
      <c r="C21" s="47"/>
      <c r="D21" s="47"/>
      <c r="E21" s="47"/>
      <c r="F21" s="45"/>
      <c r="G21" s="45"/>
      <c r="H21" s="45"/>
      <c r="I21" s="46" t="s">
        <v>14</v>
      </c>
      <c r="J21" s="46"/>
      <c r="K21" s="48"/>
      <c r="L21" s="49"/>
      <c r="M21" s="49">
        <f>SUM(M17:N20)</f>
        <v>207337.15</v>
      </c>
      <c r="N21" s="46"/>
    </row>
    <row r="22" spans="1:14" ht="45">
      <c r="A22" s="50">
        <v>1</v>
      </c>
      <c r="B22" s="51" t="s">
        <v>35</v>
      </c>
      <c r="C22" s="43" t="s">
        <v>562</v>
      </c>
      <c r="D22" s="43" t="s">
        <v>563</v>
      </c>
      <c r="E22" s="43">
        <v>2210</v>
      </c>
      <c r="F22" s="40"/>
      <c r="G22" s="122" t="s">
        <v>564</v>
      </c>
      <c r="H22" s="40">
        <v>1113</v>
      </c>
      <c r="I22" s="39" t="s">
        <v>401</v>
      </c>
      <c r="J22" s="39" t="s">
        <v>12</v>
      </c>
      <c r="K22" s="41">
        <v>10</v>
      </c>
      <c r="L22" s="42">
        <v>19593.45</v>
      </c>
      <c r="M22" s="42">
        <v>195934.5</v>
      </c>
      <c r="N22" s="42" t="s">
        <v>458</v>
      </c>
    </row>
    <row r="23" spans="1:14">
      <c r="A23" s="50"/>
      <c r="B23" s="51"/>
      <c r="C23" s="43" t="s">
        <v>72</v>
      </c>
      <c r="D23" s="43"/>
      <c r="E23" s="43">
        <v>3110</v>
      </c>
      <c r="F23" s="40"/>
      <c r="G23" s="122" t="s">
        <v>567</v>
      </c>
      <c r="H23" s="40">
        <v>1112</v>
      </c>
      <c r="I23" s="39" t="s">
        <v>344</v>
      </c>
      <c r="J23" s="39" t="s">
        <v>12</v>
      </c>
      <c r="K23" s="41">
        <v>26</v>
      </c>
      <c r="L23" s="42"/>
      <c r="M23" s="42">
        <v>3412.5</v>
      </c>
      <c r="N23" s="42"/>
    </row>
    <row r="24" spans="1:14">
      <c r="A24" s="50"/>
      <c r="B24" s="51"/>
      <c r="C24" s="43" t="s">
        <v>562</v>
      </c>
      <c r="D24" s="43" t="s">
        <v>461</v>
      </c>
      <c r="E24" s="43">
        <v>2210</v>
      </c>
      <c r="F24" s="40"/>
      <c r="G24" s="122" t="s">
        <v>567</v>
      </c>
      <c r="H24" s="122" t="s">
        <v>572</v>
      </c>
      <c r="I24" s="124" t="s">
        <v>573</v>
      </c>
      <c r="J24" s="39" t="s">
        <v>12</v>
      </c>
      <c r="K24" s="41">
        <v>3</v>
      </c>
      <c r="L24" s="42">
        <v>8.1</v>
      </c>
      <c r="M24" s="42">
        <v>24.3</v>
      </c>
      <c r="N24" s="42"/>
    </row>
    <row r="25" spans="1:14">
      <c r="A25" s="50"/>
      <c r="B25" s="51"/>
      <c r="C25" s="43" t="s">
        <v>562</v>
      </c>
      <c r="D25" s="43" t="s">
        <v>461</v>
      </c>
      <c r="E25" s="43">
        <v>2210</v>
      </c>
      <c r="F25" s="40"/>
      <c r="G25" s="122" t="s">
        <v>567</v>
      </c>
      <c r="H25" s="122" t="s">
        <v>572</v>
      </c>
      <c r="I25" s="124" t="s">
        <v>574</v>
      </c>
      <c r="J25" s="39" t="s">
        <v>12</v>
      </c>
      <c r="K25" s="41">
        <v>1</v>
      </c>
      <c r="L25" s="42">
        <v>4.45</v>
      </c>
      <c r="M25" s="42">
        <v>4.45</v>
      </c>
      <c r="N25" s="42"/>
    </row>
    <row r="26" spans="1:14">
      <c r="A26" s="45"/>
      <c r="B26" s="46"/>
      <c r="C26" s="47"/>
      <c r="D26" s="47"/>
      <c r="E26" s="47"/>
      <c r="F26" s="45"/>
      <c r="G26" s="45"/>
      <c r="H26" s="45"/>
      <c r="I26" s="46" t="s">
        <v>14</v>
      </c>
      <c r="J26" s="46"/>
      <c r="K26" s="48"/>
      <c r="L26" s="49"/>
      <c r="M26" s="49">
        <f>SUM(M22:M25)</f>
        <v>199375.75</v>
      </c>
      <c r="N26" s="46"/>
    </row>
    <row r="27" spans="1:14" ht="45">
      <c r="A27" s="50">
        <v>1</v>
      </c>
      <c r="B27" s="51" t="s">
        <v>36</v>
      </c>
      <c r="C27" s="43" t="s">
        <v>562</v>
      </c>
      <c r="D27" s="43" t="s">
        <v>563</v>
      </c>
      <c r="E27" s="43">
        <v>2210</v>
      </c>
      <c r="F27" s="40"/>
      <c r="G27" s="122" t="s">
        <v>564</v>
      </c>
      <c r="H27" s="40">
        <v>1113</v>
      </c>
      <c r="I27" s="39" t="s">
        <v>401</v>
      </c>
      <c r="J27" s="39" t="s">
        <v>12</v>
      </c>
      <c r="K27" s="41">
        <v>30</v>
      </c>
      <c r="L27" s="42">
        <v>19593.45</v>
      </c>
      <c r="M27" s="42">
        <v>587803.5</v>
      </c>
      <c r="N27" s="42" t="s">
        <v>458</v>
      </c>
    </row>
    <row r="28" spans="1:14">
      <c r="A28" s="50">
        <v>2</v>
      </c>
      <c r="B28" s="51" t="s">
        <v>36</v>
      </c>
      <c r="C28" s="43" t="s">
        <v>562</v>
      </c>
      <c r="D28" s="43" t="s">
        <v>461</v>
      </c>
      <c r="E28" s="43">
        <v>2210</v>
      </c>
      <c r="F28" s="40"/>
      <c r="G28" s="122" t="s">
        <v>567</v>
      </c>
      <c r="H28" s="122" t="s">
        <v>572</v>
      </c>
      <c r="I28" s="124" t="s">
        <v>573</v>
      </c>
      <c r="J28" s="39" t="s">
        <v>12</v>
      </c>
      <c r="K28" s="41">
        <v>3</v>
      </c>
      <c r="L28" s="42">
        <v>8.1</v>
      </c>
      <c r="M28" s="42">
        <v>24.3</v>
      </c>
      <c r="N28" s="42" t="s">
        <v>458</v>
      </c>
    </row>
    <row r="29" spans="1:14">
      <c r="A29" s="50"/>
      <c r="B29" s="51"/>
      <c r="C29" s="43" t="s">
        <v>562</v>
      </c>
      <c r="D29" s="43" t="s">
        <v>461</v>
      </c>
      <c r="E29" s="43">
        <v>2210</v>
      </c>
      <c r="F29" s="40"/>
      <c r="G29" s="122" t="s">
        <v>567</v>
      </c>
      <c r="H29" s="122" t="s">
        <v>572</v>
      </c>
      <c r="I29" s="124" t="s">
        <v>574</v>
      </c>
      <c r="J29" s="39" t="s">
        <v>12</v>
      </c>
      <c r="K29" s="41">
        <v>1</v>
      </c>
      <c r="L29" s="42">
        <v>4.45</v>
      </c>
      <c r="M29" s="42">
        <v>4.45</v>
      </c>
      <c r="N29" s="42"/>
    </row>
    <row r="30" spans="1:14">
      <c r="A30" s="50"/>
      <c r="B30" s="51"/>
      <c r="C30" s="43" t="s">
        <v>333</v>
      </c>
      <c r="D30" s="43"/>
      <c r="E30" s="43">
        <v>2210</v>
      </c>
      <c r="F30" s="40"/>
      <c r="G30" s="122" t="s">
        <v>567</v>
      </c>
      <c r="H30" s="122" t="s">
        <v>11</v>
      </c>
      <c r="I30" s="124" t="s">
        <v>575</v>
      </c>
      <c r="J30" s="39" t="s">
        <v>12</v>
      </c>
      <c r="K30" s="41">
        <f>2+4+2</f>
        <v>8</v>
      </c>
      <c r="L30" s="42"/>
      <c r="M30" s="42">
        <f>896+1872+113</f>
        <v>2881</v>
      </c>
      <c r="N30" s="42"/>
    </row>
    <row r="31" spans="1:14">
      <c r="A31" s="50"/>
      <c r="B31" s="51"/>
      <c r="C31" s="43" t="s">
        <v>333</v>
      </c>
      <c r="D31" s="43"/>
      <c r="E31" s="43">
        <v>2210</v>
      </c>
      <c r="F31" s="40"/>
      <c r="G31" s="122" t="s">
        <v>567</v>
      </c>
      <c r="H31" s="122" t="s">
        <v>11</v>
      </c>
      <c r="I31" s="124" t="s">
        <v>317</v>
      </c>
      <c r="J31" s="39" t="s">
        <v>12</v>
      </c>
      <c r="K31" s="41">
        <v>2</v>
      </c>
      <c r="L31" s="42"/>
      <c r="M31" s="42">
        <v>440</v>
      </c>
      <c r="N31" s="42"/>
    </row>
    <row r="32" spans="1:14">
      <c r="A32" s="50"/>
      <c r="B32" s="51"/>
      <c r="C32" s="43" t="s">
        <v>333</v>
      </c>
      <c r="D32" s="43"/>
      <c r="E32" s="43">
        <v>2210</v>
      </c>
      <c r="F32" s="40"/>
      <c r="G32" s="122" t="s">
        <v>567</v>
      </c>
      <c r="H32" s="122" t="s">
        <v>11</v>
      </c>
      <c r="I32" s="124" t="s">
        <v>576</v>
      </c>
      <c r="J32" s="39" t="s">
        <v>12</v>
      </c>
      <c r="K32" s="41">
        <v>3</v>
      </c>
      <c r="L32" s="42"/>
      <c r="M32" s="42">
        <v>2850</v>
      </c>
      <c r="N32" s="42"/>
    </row>
    <row r="33" spans="1:14">
      <c r="A33" s="50"/>
      <c r="B33" s="51"/>
      <c r="C33" s="43" t="s">
        <v>333</v>
      </c>
      <c r="D33" s="43"/>
      <c r="E33" s="43">
        <v>2210</v>
      </c>
      <c r="F33" s="40"/>
      <c r="G33" s="122" t="s">
        <v>567</v>
      </c>
      <c r="H33" s="122" t="s">
        <v>11</v>
      </c>
      <c r="I33" s="124" t="s">
        <v>377</v>
      </c>
      <c r="J33" s="39" t="s">
        <v>12</v>
      </c>
      <c r="K33" s="41">
        <f>2+2+10+2+9</f>
        <v>25</v>
      </c>
      <c r="L33" s="42"/>
      <c r="M33" s="42">
        <f>572.96+490.24+2658+531.58+2327.4</f>
        <v>6580.18</v>
      </c>
      <c r="N33" s="42"/>
    </row>
    <row r="34" spans="1:14">
      <c r="A34" s="50"/>
      <c r="B34" s="51"/>
      <c r="C34" s="43" t="s">
        <v>333</v>
      </c>
      <c r="D34" s="43"/>
      <c r="E34" s="43">
        <v>2210</v>
      </c>
      <c r="F34" s="40"/>
      <c r="G34" s="122" t="s">
        <v>567</v>
      </c>
      <c r="H34" s="122" t="s">
        <v>11</v>
      </c>
      <c r="I34" s="124" t="s">
        <v>378</v>
      </c>
      <c r="J34" s="39" t="s">
        <v>12</v>
      </c>
      <c r="K34" s="41">
        <v>3</v>
      </c>
      <c r="L34" s="42"/>
      <c r="M34" s="42">
        <v>270</v>
      </c>
      <c r="N34" s="42"/>
    </row>
    <row r="35" spans="1:14">
      <c r="A35" s="50"/>
      <c r="B35" s="51"/>
      <c r="C35" s="43" t="s">
        <v>333</v>
      </c>
      <c r="D35" s="43"/>
      <c r="E35" s="43">
        <v>2210</v>
      </c>
      <c r="F35" s="40"/>
      <c r="G35" s="122" t="s">
        <v>567</v>
      </c>
      <c r="H35" s="122" t="s">
        <v>11</v>
      </c>
      <c r="I35" s="124" t="s">
        <v>577</v>
      </c>
      <c r="J35" s="39" t="s">
        <v>12</v>
      </c>
      <c r="K35" s="41">
        <v>4</v>
      </c>
      <c r="L35" s="42"/>
      <c r="M35" s="42">
        <v>280</v>
      </c>
      <c r="N35" s="42"/>
    </row>
    <row r="36" spans="1:14">
      <c r="A36" s="50"/>
      <c r="B36" s="51"/>
      <c r="C36" s="43" t="s">
        <v>333</v>
      </c>
      <c r="D36" s="43"/>
      <c r="E36" s="43">
        <v>2210</v>
      </c>
      <c r="F36" s="40"/>
      <c r="G36" s="122" t="s">
        <v>567</v>
      </c>
      <c r="H36" s="122" t="s">
        <v>11</v>
      </c>
      <c r="I36" s="124" t="s">
        <v>89</v>
      </c>
      <c r="J36" s="39" t="s">
        <v>12</v>
      </c>
      <c r="K36" s="41">
        <v>8</v>
      </c>
      <c r="L36" s="42"/>
      <c r="M36" s="42">
        <v>344</v>
      </c>
      <c r="N36" s="42"/>
    </row>
    <row r="37" spans="1:14">
      <c r="A37" s="50"/>
      <c r="B37" s="51"/>
      <c r="C37" s="43" t="s">
        <v>333</v>
      </c>
      <c r="D37" s="43"/>
      <c r="E37" s="43">
        <v>2210</v>
      </c>
      <c r="F37" s="40"/>
      <c r="G37" s="122" t="s">
        <v>567</v>
      </c>
      <c r="H37" s="122" t="s">
        <v>11</v>
      </c>
      <c r="I37" s="124" t="s">
        <v>88</v>
      </c>
      <c r="J37" s="39" t="s">
        <v>12</v>
      </c>
      <c r="K37" s="41">
        <v>9</v>
      </c>
      <c r="L37" s="42"/>
      <c r="M37" s="42">
        <v>99</v>
      </c>
      <c r="N37" s="42"/>
    </row>
    <row r="38" spans="1:14">
      <c r="A38" s="50"/>
      <c r="B38" s="51"/>
      <c r="C38" s="43" t="s">
        <v>333</v>
      </c>
      <c r="D38" s="43"/>
      <c r="E38" s="43">
        <v>2210</v>
      </c>
      <c r="F38" s="40"/>
      <c r="G38" s="122" t="s">
        <v>567</v>
      </c>
      <c r="H38" s="122" t="s">
        <v>11</v>
      </c>
      <c r="I38" s="39" t="s">
        <v>38</v>
      </c>
      <c r="J38" s="39" t="s">
        <v>12</v>
      </c>
      <c r="K38" s="41">
        <f>15+80</f>
        <v>95</v>
      </c>
      <c r="L38" s="42"/>
      <c r="M38" s="42">
        <f>1695+8000</f>
        <v>9695</v>
      </c>
      <c r="N38" s="42"/>
    </row>
    <row r="39" spans="1:14">
      <c r="A39" s="50"/>
      <c r="B39" s="51"/>
      <c r="C39" s="43" t="s">
        <v>333</v>
      </c>
      <c r="D39" s="43"/>
      <c r="E39" s="43">
        <v>2210</v>
      </c>
      <c r="F39" s="40"/>
      <c r="G39" s="122" t="s">
        <v>567</v>
      </c>
      <c r="H39" s="122" t="s">
        <v>11</v>
      </c>
      <c r="I39" s="39" t="s">
        <v>248</v>
      </c>
      <c r="J39" s="39" t="s">
        <v>578</v>
      </c>
      <c r="K39" s="41">
        <v>2</v>
      </c>
      <c r="L39" s="42"/>
      <c r="M39" s="42">
        <v>600</v>
      </c>
      <c r="N39" s="42"/>
    </row>
    <row r="40" spans="1:14">
      <c r="A40" s="50"/>
      <c r="B40" s="51"/>
      <c r="C40" s="43" t="s">
        <v>333</v>
      </c>
      <c r="D40" s="43"/>
      <c r="E40" s="43">
        <v>2210</v>
      </c>
      <c r="F40" s="40"/>
      <c r="G40" s="122" t="s">
        <v>567</v>
      </c>
      <c r="H40" s="122" t="s">
        <v>580</v>
      </c>
      <c r="I40" s="39" t="s">
        <v>579</v>
      </c>
      <c r="J40" s="39" t="s">
        <v>12</v>
      </c>
      <c r="K40" s="41">
        <v>2</v>
      </c>
      <c r="L40" s="42"/>
      <c r="M40" s="42">
        <v>70000</v>
      </c>
      <c r="N40" s="42"/>
    </row>
    <row r="41" spans="1:14">
      <c r="A41" s="45"/>
      <c r="B41" s="46"/>
      <c r="C41" s="47"/>
      <c r="D41" s="47"/>
      <c r="E41" s="47"/>
      <c r="F41" s="45"/>
      <c r="G41" s="45"/>
      <c r="H41" s="45"/>
      <c r="I41" s="46" t="s">
        <v>14</v>
      </c>
      <c r="J41" s="46"/>
      <c r="K41" s="48"/>
      <c r="L41" s="49"/>
      <c r="M41" s="49">
        <f>SUM(M27:M40)</f>
        <v>681871.43</v>
      </c>
      <c r="N41" s="46">
        <f>SUM(N27:N40)</f>
        <v>0</v>
      </c>
    </row>
    <row r="42" spans="1:14" ht="54" customHeight="1">
      <c r="A42" s="50">
        <v>1</v>
      </c>
      <c r="B42" s="51" t="s">
        <v>56</v>
      </c>
      <c r="C42" s="43" t="s">
        <v>562</v>
      </c>
      <c r="D42" s="43" t="s">
        <v>563</v>
      </c>
      <c r="E42" s="43">
        <v>2210</v>
      </c>
      <c r="F42" s="40"/>
      <c r="G42" s="122" t="s">
        <v>564</v>
      </c>
      <c r="H42" s="40">
        <v>1113</v>
      </c>
      <c r="I42" s="39" t="s">
        <v>401</v>
      </c>
      <c r="J42" s="39" t="s">
        <v>12</v>
      </c>
      <c r="K42" s="41">
        <v>20</v>
      </c>
      <c r="L42" s="42">
        <v>19593.45</v>
      </c>
      <c r="M42" s="42">
        <v>391869</v>
      </c>
      <c r="N42" s="42" t="s">
        <v>458</v>
      </c>
    </row>
    <row r="43" spans="1:14">
      <c r="A43" s="50">
        <v>2</v>
      </c>
      <c r="B43" s="51"/>
      <c r="C43" s="43" t="s">
        <v>72</v>
      </c>
      <c r="D43" s="43"/>
      <c r="E43" s="43">
        <v>3110</v>
      </c>
      <c r="F43" s="40"/>
      <c r="G43" s="122" t="s">
        <v>567</v>
      </c>
      <c r="H43" s="40">
        <v>1112</v>
      </c>
      <c r="I43" s="39" t="s">
        <v>344</v>
      </c>
      <c r="J43" s="39" t="s">
        <v>12</v>
      </c>
      <c r="K43" s="41">
        <v>94</v>
      </c>
      <c r="L43" s="42"/>
      <c r="M43" s="42">
        <v>11496.2</v>
      </c>
      <c r="N43" s="42" t="s">
        <v>458</v>
      </c>
    </row>
    <row r="44" spans="1:14">
      <c r="A44" s="50">
        <v>3</v>
      </c>
      <c r="B44" s="51"/>
      <c r="C44" s="43" t="s">
        <v>562</v>
      </c>
      <c r="D44" s="43" t="s">
        <v>461</v>
      </c>
      <c r="E44" s="43">
        <v>2210</v>
      </c>
      <c r="F44" s="40"/>
      <c r="G44" s="122" t="s">
        <v>567</v>
      </c>
      <c r="H44" s="122" t="s">
        <v>572</v>
      </c>
      <c r="I44" s="124" t="s">
        <v>573</v>
      </c>
      <c r="J44" s="39" t="s">
        <v>12</v>
      </c>
      <c r="K44" s="41">
        <v>3</v>
      </c>
      <c r="L44" s="42">
        <v>8.1</v>
      </c>
      <c r="M44" s="42">
        <v>24.3</v>
      </c>
      <c r="N44" s="42" t="s">
        <v>458</v>
      </c>
    </row>
    <row r="45" spans="1:14">
      <c r="A45" s="50">
        <v>4</v>
      </c>
      <c r="B45" s="51"/>
      <c r="C45" s="43" t="s">
        <v>562</v>
      </c>
      <c r="D45" s="43" t="s">
        <v>461</v>
      </c>
      <c r="E45" s="43">
        <v>2210</v>
      </c>
      <c r="F45" s="40"/>
      <c r="G45" s="122" t="s">
        <v>567</v>
      </c>
      <c r="H45" s="122" t="s">
        <v>572</v>
      </c>
      <c r="I45" s="124" t="s">
        <v>574</v>
      </c>
      <c r="J45" s="39" t="s">
        <v>12</v>
      </c>
      <c r="K45" s="41">
        <v>1</v>
      </c>
      <c r="L45" s="42">
        <v>4.45</v>
      </c>
      <c r="M45" s="42">
        <v>4.45</v>
      </c>
      <c r="N45" s="42" t="s">
        <v>458</v>
      </c>
    </row>
    <row r="46" spans="1:14">
      <c r="A46" s="50">
        <v>5</v>
      </c>
      <c r="B46" s="51"/>
      <c r="C46" s="43"/>
      <c r="D46" s="123" t="s">
        <v>566</v>
      </c>
      <c r="E46" s="43"/>
      <c r="F46" s="40"/>
      <c r="G46" s="40"/>
      <c r="H46" s="40"/>
      <c r="I46" s="43"/>
      <c r="J46" s="51"/>
      <c r="K46" s="41"/>
      <c r="L46" s="42"/>
      <c r="M46" s="42"/>
      <c r="N46" s="42" t="s">
        <v>458</v>
      </c>
    </row>
    <row r="47" spans="1:14">
      <c r="A47" s="45"/>
      <c r="B47" s="46"/>
      <c r="C47" s="47"/>
      <c r="D47" s="47"/>
      <c r="E47" s="47"/>
      <c r="F47" s="45"/>
      <c r="G47" s="45"/>
      <c r="H47" s="45"/>
      <c r="I47" s="46" t="s">
        <v>14</v>
      </c>
      <c r="J47" s="46"/>
      <c r="K47" s="48"/>
      <c r="L47" s="49"/>
      <c r="M47" s="49">
        <f>SUM(M42:M46)</f>
        <v>403393.95</v>
      </c>
      <c r="N47" s="46">
        <f>SUM(N42:N46)</f>
        <v>0</v>
      </c>
    </row>
    <row r="48" spans="1:14" ht="48" customHeight="1">
      <c r="A48" s="40">
        <v>1</v>
      </c>
      <c r="B48" s="39" t="s">
        <v>37</v>
      </c>
      <c r="C48" s="43" t="s">
        <v>562</v>
      </c>
      <c r="D48" s="43" t="s">
        <v>563</v>
      </c>
      <c r="E48" s="43">
        <v>2210</v>
      </c>
      <c r="F48" s="40"/>
      <c r="G48" s="122" t="s">
        <v>564</v>
      </c>
      <c r="H48" s="40">
        <v>1113</v>
      </c>
      <c r="I48" s="39" t="s">
        <v>401</v>
      </c>
      <c r="J48" s="39" t="s">
        <v>12</v>
      </c>
      <c r="K48" s="41">
        <v>10</v>
      </c>
      <c r="L48" s="42">
        <v>19593.45</v>
      </c>
      <c r="M48" s="42">
        <v>195934.5</v>
      </c>
      <c r="N48" s="42" t="s">
        <v>458</v>
      </c>
    </row>
    <row r="49" spans="1:15">
      <c r="A49" s="40"/>
      <c r="B49" s="39" t="s">
        <v>37</v>
      </c>
      <c r="C49" s="43" t="s">
        <v>562</v>
      </c>
      <c r="D49" s="43" t="s">
        <v>461</v>
      </c>
      <c r="E49" s="43">
        <v>2210</v>
      </c>
      <c r="F49" s="40"/>
      <c r="G49" s="122" t="s">
        <v>567</v>
      </c>
      <c r="H49" s="122" t="s">
        <v>572</v>
      </c>
      <c r="I49" s="124" t="s">
        <v>573</v>
      </c>
      <c r="J49" s="39" t="s">
        <v>12</v>
      </c>
      <c r="K49" s="41">
        <v>4</v>
      </c>
      <c r="L49" s="42">
        <v>8.1</v>
      </c>
      <c r="M49" s="42">
        <v>32.4</v>
      </c>
      <c r="N49" s="42"/>
    </row>
    <row r="50" spans="1:15">
      <c r="A50" s="40"/>
      <c r="B50" s="39" t="s">
        <v>37</v>
      </c>
      <c r="C50" s="43" t="s">
        <v>562</v>
      </c>
      <c r="D50" s="43" t="s">
        <v>461</v>
      </c>
      <c r="E50" s="43">
        <v>2210</v>
      </c>
      <c r="F50" s="40"/>
      <c r="G50" s="122" t="s">
        <v>567</v>
      </c>
      <c r="H50" s="122" t="s">
        <v>572</v>
      </c>
      <c r="I50" s="124" t="s">
        <v>574</v>
      </c>
      <c r="J50" s="39" t="s">
        <v>12</v>
      </c>
      <c r="K50" s="41">
        <v>1</v>
      </c>
      <c r="L50" s="42">
        <v>4.45</v>
      </c>
      <c r="M50" s="42">
        <v>4.45</v>
      </c>
      <c r="N50" s="42"/>
    </row>
    <row r="51" spans="1:15">
      <c r="A51" s="40"/>
      <c r="B51" s="39" t="s">
        <v>37</v>
      </c>
      <c r="C51" s="43"/>
      <c r="D51" s="43"/>
      <c r="E51" s="43"/>
      <c r="F51" s="40"/>
      <c r="G51" s="122"/>
      <c r="H51" s="40"/>
      <c r="I51" s="39"/>
      <c r="J51" s="39"/>
      <c r="K51" s="41"/>
      <c r="L51" s="42"/>
      <c r="M51" s="42"/>
      <c r="N51" s="42"/>
    </row>
    <row r="52" spans="1:15">
      <c r="A52" s="40"/>
      <c r="B52" s="39" t="s">
        <v>37</v>
      </c>
      <c r="C52" s="43"/>
      <c r="D52" s="43"/>
      <c r="E52" s="43"/>
      <c r="F52" s="40"/>
      <c r="G52" s="122"/>
      <c r="H52" s="40"/>
      <c r="I52" s="39"/>
      <c r="J52" s="39"/>
      <c r="K52" s="41"/>
      <c r="L52" s="42"/>
      <c r="M52" s="42"/>
      <c r="N52" s="42"/>
    </row>
    <row r="53" spans="1:15">
      <c r="A53" s="40">
        <v>2</v>
      </c>
      <c r="B53" s="39" t="s">
        <v>37</v>
      </c>
      <c r="C53" s="43"/>
      <c r="D53" s="43"/>
      <c r="E53" s="43"/>
      <c r="F53" s="40"/>
      <c r="G53" s="40"/>
      <c r="H53" s="40"/>
      <c r="I53" s="39"/>
      <c r="J53" s="39"/>
      <c r="K53" s="41"/>
      <c r="L53" s="42"/>
      <c r="M53" s="42"/>
      <c r="N53" s="42" t="s">
        <v>458</v>
      </c>
    </row>
    <row r="54" spans="1:15">
      <c r="A54" s="45"/>
      <c r="B54" s="46"/>
      <c r="C54" s="47"/>
      <c r="D54" s="47"/>
      <c r="E54" s="47"/>
      <c r="F54" s="45"/>
      <c r="G54" s="45"/>
      <c r="H54" s="45"/>
      <c r="I54" s="46" t="s">
        <v>14</v>
      </c>
      <c r="J54" s="46"/>
      <c r="K54" s="48"/>
      <c r="L54" s="49"/>
      <c r="M54" s="49">
        <f>SUM(M48:M53)</f>
        <v>195971.35</v>
      </c>
      <c r="N54" s="46">
        <f>SUM(N48:N53)</f>
        <v>0</v>
      </c>
    </row>
    <row r="55" spans="1:15" ht="51" customHeight="1">
      <c r="A55" s="50"/>
      <c r="B55" s="51" t="s">
        <v>39</v>
      </c>
      <c r="C55" s="43" t="s">
        <v>562</v>
      </c>
      <c r="D55" s="43" t="s">
        <v>563</v>
      </c>
      <c r="E55" s="43">
        <v>2210</v>
      </c>
      <c r="F55" s="40"/>
      <c r="G55" s="122" t="s">
        <v>564</v>
      </c>
      <c r="H55" s="40">
        <v>1113</v>
      </c>
      <c r="I55" s="39" t="s">
        <v>401</v>
      </c>
      <c r="J55" s="39" t="s">
        <v>12</v>
      </c>
      <c r="K55" s="41">
        <v>10</v>
      </c>
      <c r="L55" s="42">
        <v>19593.45</v>
      </c>
      <c r="M55" s="42">
        <v>195934.5</v>
      </c>
      <c r="N55" s="42" t="s">
        <v>458</v>
      </c>
      <c r="O55" s="42"/>
    </row>
    <row r="56" spans="1:15">
      <c r="A56" s="50">
        <v>1</v>
      </c>
      <c r="B56" s="51" t="s">
        <v>39</v>
      </c>
      <c r="C56" s="43" t="s">
        <v>72</v>
      </c>
      <c r="D56" s="43"/>
      <c r="E56" s="43">
        <v>3110</v>
      </c>
      <c r="F56" s="40"/>
      <c r="G56" s="122" t="s">
        <v>567</v>
      </c>
      <c r="H56" s="40">
        <v>1112</v>
      </c>
      <c r="I56" s="39" t="s">
        <v>344</v>
      </c>
      <c r="J56" s="39" t="s">
        <v>12</v>
      </c>
      <c r="K56" s="41">
        <v>32</v>
      </c>
      <c r="L56" s="42"/>
      <c r="M56" s="42">
        <v>4318.72</v>
      </c>
      <c r="N56" s="42" t="s">
        <v>458</v>
      </c>
    </row>
    <row r="57" spans="1:15">
      <c r="A57" s="50"/>
      <c r="B57" s="51"/>
      <c r="C57" s="43"/>
      <c r="D57" s="43"/>
      <c r="E57" s="43"/>
      <c r="F57" s="40"/>
      <c r="G57" s="40"/>
      <c r="H57" s="40"/>
      <c r="I57" s="39"/>
      <c r="J57" s="39"/>
      <c r="K57" s="41"/>
      <c r="L57" s="42"/>
      <c r="M57" s="42"/>
      <c r="N57" s="42"/>
    </row>
    <row r="58" spans="1:15">
      <c r="A58" s="50"/>
      <c r="B58" s="51"/>
      <c r="C58" s="43"/>
      <c r="D58" s="43"/>
      <c r="E58" s="43"/>
      <c r="F58" s="40"/>
      <c r="G58" s="40"/>
      <c r="H58" s="40"/>
      <c r="I58" s="39"/>
      <c r="J58" s="39"/>
      <c r="K58" s="41"/>
      <c r="L58" s="42"/>
      <c r="M58" s="42"/>
      <c r="N58" s="42"/>
    </row>
    <row r="59" spans="1:15">
      <c r="A59" s="50"/>
      <c r="B59" s="51"/>
      <c r="C59" s="43"/>
      <c r="D59" s="43"/>
      <c r="E59" s="43"/>
      <c r="F59" s="40"/>
      <c r="G59" s="40"/>
      <c r="H59" s="40"/>
      <c r="I59" s="39"/>
      <c r="J59" s="39"/>
      <c r="K59" s="41"/>
      <c r="L59" s="42"/>
      <c r="M59" s="42"/>
      <c r="N59" s="42"/>
    </row>
    <row r="60" spans="1:15">
      <c r="A60" s="50"/>
      <c r="B60" s="51"/>
      <c r="C60" s="43"/>
      <c r="D60" s="43"/>
      <c r="E60" s="43"/>
      <c r="F60" s="40"/>
      <c r="G60" s="40"/>
      <c r="H60" s="40"/>
      <c r="I60" s="39"/>
      <c r="J60" s="39"/>
      <c r="K60" s="41"/>
      <c r="L60" s="42"/>
      <c r="M60" s="42"/>
      <c r="N60" s="42" t="s">
        <v>458</v>
      </c>
    </row>
    <row r="61" spans="1:15">
      <c r="A61" s="45"/>
      <c r="B61" s="46"/>
      <c r="C61" s="47"/>
      <c r="D61" s="47"/>
      <c r="E61" s="47"/>
      <c r="F61" s="45"/>
      <c r="G61" s="45"/>
      <c r="H61" s="45"/>
      <c r="I61" s="46" t="s">
        <v>14</v>
      </c>
      <c r="J61" s="46"/>
      <c r="K61" s="48"/>
      <c r="L61" s="49"/>
      <c r="M61" s="49">
        <f>SUM(M55:M60)</f>
        <v>200253.22</v>
      </c>
      <c r="N61" s="46"/>
    </row>
    <row r="62" spans="1:15" ht="48.75" customHeight="1">
      <c r="A62" s="50">
        <v>1</v>
      </c>
      <c r="B62" s="51" t="s">
        <v>42</v>
      </c>
      <c r="C62" s="43" t="s">
        <v>562</v>
      </c>
      <c r="D62" s="43" t="s">
        <v>563</v>
      </c>
      <c r="E62" s="43">
        <v>2210</v>
      </c>
      <c r="F62" s="40"/>
      <c r="G62" s="122" t="s">
        <v>564</v>
      </c>
      <c r="H62" s="40">
        <v>1113</v>
      </c>
      <c r="I62" s="39" t="s">
        <v>401</v>
      </c>
      <c r="J62" s="39" t="s">
        <v>12</v>
      </c>
      <c r="K62" s="41">
        <v>10</v>
      </c>
      <c r="L62" s="42">
        <v>19593.45</v>
      </c>
      <c r="M62" s="42">
        <v>195934.5</v>
      </c>
      <c r="N62" s="42" t="s">
        <v>458</v>
      </c>
    </row>
    <row r="63" spans="1:15">
      <c r="A63" s="50"/>
      <c r="B63" s="51"/>
      <c r="C63" s="43" t="s">
        <v>562</v>
      </c>
      <c r="D63" s="43" t="s">
        <v>461</v>
      </c>
      <c r="E63" s="43">
        <v>2210</v>
      </c>
      <c r="F63" s="40"/>
      <c r="G63" s="122" t="s">
        <v>567</v>
      </c>
      <c r="H63" s="122" t="s">
        <v>572</v>
      </c>
      <c r="I63" s="124" t="s">
        <v>573</v>
      </c>
      <c r="J63" s="39" t="s">
        <v>12</v>
      </c>
      <c r="K63" s="41">
        <v>3</v>
      </c>
      <c r="L63" s="42">
        <v>8.1</v>
      </c>
      <c r="M63" s="42">
        <v>24.3</v>
      </c>
      <c r="N63" s="42" t="s">
        <v>458</v>
      </c>
    </row>
    <row r="64" spans="1:15">
      <c r="A64" s="50"/>
      <c r="B64" s="51"/>
      <c r="C64" s="43" t="s">
        <v>562</v>
      </c>
      <c r="D64" s="43" t="s">
        <v>461</v>
      </c>
      <c r="E64" s="43">
        <v>2210</v>
      </c>
      <c r="F64" s="40"/>
      <c r="G64" s="122" t="s">
        <v>567</v>
      </c>
      <c r="H64" s="122" t="s">
        <v>572</v>
      </c>
      <c r="I64" s="124" t="s">
        <v>574</v>
      </c>
      <c r="J64" s="39" t="s">
        <v>12</v>
      </c>
      <c r="K64" s="41">
        <v>1</v>
      </c>
      <c r="L64" s="42">
        <v>4.45</v>
      </c>
      <c r="M64" s="42">
        <v>4.45</v>
      </c>
      <c r="N64" s="42" t="s">
        <v>458</v>
      </c>
    </row>
    <row r="65" spans="1:14">
      <c r="A65" s="45"/>
      <c r="B65" s="46"/>
      <c r="C65" s="47"/>
      <c r="D65" s="47"/>
      <c r="E65" s="47"/>
      <c r="F65" s="45"/>
      <c r="G65" s="45"/>
      <c r="H65" s="45"/>
      <c r="I65" s="46" t="s">
        <v>14</v>
      </c>
      <c r="J65" s="46"/>
      <c r="K65" s="48"/>
      <c r="L65" s="49"/>
      <c r="M65" s="49">
        <f>SUM(M62:M64)</f>
        <v>195963.25</v>
      </c>
      <c r="N65" s="46"/>
    </row>
    <row r="66" spans="1:14" ht="47.25" customHeight="1">
      <c r="A66" s="50">
        <v>1</v>
      </c>
      <c r="B66" s="51" t="s">
        <v>83</v>
      </c>
      <c r="C66" s="43" t="s">
        <v>562</v>
      </c>
      <c r="D66" s="43" t="s">
        <v>563</v>
      </c>
      <c r="E66" s="43">
        <v>2210</v>
      </c>
      <c r="F66" s="40"/>
      <c r="G66" s="122" t="s">
        <v>564</v>
      </c>
      <c r="H66" s="40">
        <v>1113</v>
      </c>
      <c r="I66" s="39" t="s">
        <v>401</v>
      </c>
      <c r="J66" s="39" t="s">
        <v>12</v>
      </c>
      <c r="K66" s="41">
        <v>10</v>
      </c>
      <c r="L66" s="42">
        <v>19593.45</v>
      </c>
      <c r="M66" s="42">
        <v>195934.5</v>
      </c>
      <c r="N66" s="42" t="s">
        <v>458</v>
      </c>
    </row>
    <row r="67" spans="1:14">
      <c r="A67" s="50"/>
      <c r="B67" s="51"/>
      <c r="C67" s="43" t="s">
        <v>72</v>
      </c>
      <c r="D67" s="43"/>
      <c r="E67" s="43">
        <v>3110</v>
      </c>
      <c r="F67" s="40"/>
      <c r="G67" s="122" t="s">
        <v>567</v>
      </c>
      <c r="H67" s="40">
        <v>1112</v>
      </c>
      <c r="I67" s="39" t="s">
        <v>344</v>
      </c>
      <c r="J67" s="39" t="s">
        <v>12</v>
      </c>
      <c r="K67" s="41">
        <f>67+22</f>
        <v>89</v>
      </c>
      <c r="L67" s="42"/>
      <c r="M67" s="42">
        <f>9343.15+2887.5</f>
        <v>12230.65</v>
      </c>
      <c r="N67" s="42"/>
    </row>
    <row r="68" spans="1:14">
      <c r="A68" s="50"/>
      <c r="B68" s="51"/>
      <c r="C68" s="43" t="s">
        <v>562</v>
      </c>
      <c r="D68" s="43" t="s">
        <v>461</v>
      </c>
      <c r="E68" s="43">
        <v>2210</v>
      </c>
      <c r="F68" s="40"/>
      <c r="G68" s="122" t="s">
        <v>567</v>
      </c>
      <c r="H68" s="122" t="s">
        <v>572</v>
      </c>
      <c r="I68" s="124" t="s">
        <v>573</v>
      </c>
      <c r="J68" s="39" t="s">
        <v>12</v>
      </c>
      <c r="K68" s="41">
        <v>3</v>
      </c>
      <c r="L68" s="42">
        <v>8.1</v>
      </c>
      <c r="M68" s="42">
        <v>24.3</v>
      </c>
      <c r="N68" s="42"/>
    </row>
    <row r="69" spans="1:14">
      <c r="A69" s="50"/>
      <c r="B69" s="51"/>
      <c r="C69" s="43" t="s">
        <v>562</v>
      </c>
      <c r="D69" s="43" t="s">
        <v>461</v>
      </c>
      <c r="E69" s="43">
        <v>2210</v>
      </c>
      <c r="F69" s="40"/>
      <c r="G69" s="122" t="s">
        <v>567</v>
      </c>
      <c r="H69" s="122" t="s">
        <v>572</v>
      </c>
      <c r="I69" s="124" t="s">
        <v>574</v>
      </c>
      <c r="J69" s="39" t="s">
        <v>12</v>
      </c>
      <c r="K69" s="41">
        <v>1</v>
      </c>
      <c r="L69" s="42">
        <v>4.45</v>
      </c>
      <c r="M69" s="42">
        <v>4.45</v>
      </c>
      <c r="N69" s="42"/>
    </row>
    <row r="70" spans="1:14">
      <c r="A70" s="50"/>
      <c r="B70" s="51"/>
      <c r="C70" s="43"/>
      <c r="D70" s="43"/>
      <c r="E70" s="43"/>
      <c r="F70" s="40"/>
      <c r="G70" s="40"/>
      <c r="H70" s="40"/>
      <c r="I70" s="39"/>
      <c r="J70" s="39"/>
      <c r="K70" s="41"/>
      <c r="L70" s="42"/>
      <c r="M70" s="42"/>
      <c r="N70" s="42" t="s">
        <v>458</v>
      </c>
    </row>
    <row r="71" spans="1:14">
      <c r="A71" s="50"/>
      <c r="B71" s="51"/>
      <c r="C71" s="43"/>
      <c r="D71" s="43"/>
      <c r="E71" s="43"/>
      <c r="F71" s="40"/>
      <c r="G71" s="40"/>
      <c r="H71" s="40"/>
      <c r="I71" s="39"/>
      <c r="J71" s="39"/>
      <c r="K71" s="41"/>
      <c r="L71" s="42"/>
      <c r="M71" s="42"/>
      <c r="N71" s="42" t="s">
        <v>458</v>
      </c>
    </row>
    <row r="72" spans="1:14">
      <c r="A72" s="45"/>
      <c r="B72" s="46"/>
      <c r="C72" s="47"/>
      <c r="D72" s="47"/>
      <c r="E72" s="47"/>
      <c r="F72" s="45"/>
      <c r="G72" s="45"/>
      <c r="H72" s="45"/>
      <c r="I72" s="46" t="s">
        <v>14</v>
      </c>
      <c r="J72" s="46"/>
      <c r="K72" s="48"/>
      <c r="L72" s="49"/>
      <c r="M72" s="49">
        <f>SUM(M66:M71)</f>
        <v>208193.9</v>
      </c>
      <c r="N72" s="46"/>
    </row>
    <row r="73" spans="1:14" ht="48.75" customHeight="1">
      <c r="A73" s="40">
        <v>1</v>
      </c>
      <c r="B73" s="39" t="s">
        <v>107</v>
      </c>
      <c r="C73" s="43" t="s">
        <v>562</v>
      </c>
      <c r="D73" s="43" t="s">
        <v>563</v>
      </c>
      <c r="E73" s="43">
        <v>2210</v>
      </c>
      <c r="F73" s="40"/>
      <c r="G73" s="122" t="s">
        <v>564</v>
      </c>
      <c r="H73" s="40">
        <v>1113</v>
      </c>
      <c r="I73" s="39" t="s">
        <v>401</v>
      </c>
      <c r="J73" s="39" t="s">
        <v>12</v>
      </c>
      <c r="K73" s="41">
        <v>10</v>
      </c>
      <c r="L73" s="42">
        <v>19593.45</v>
      </c>
      <c r="M73" s="42">
        <v>195934.5</v>
      </c>
      <c r="N73" s="39" t="s">
        <v>459</v>
      </c>
    </row>
    <row r="74" spans="1:14">
      <c r="A74" s="40"/>
      <c r="B74" s="39"/>
      <c r="C74" s="43" t="s">
        <v>562</v>
      </c>
      <c r="D74" s="43" t="s">
        <v>461</v>
      </c>
      <c r="E74" s="43">
        <v>2210</v>
      </c>
      <c r="F74" s="40"/>
      <c r="G74" s="122" t="s">
        <v>567</v>
      </c>
      <c r="H74" s="122" t="s">
        <v>572</v>
      </c>
      <c r="I74" s="124" t="s">
        <v>573</v>
      </c>
      <c r="J74" s="39" t="s">
        <v>12</v>
      </c>
      <c r="K74" s="41">
        <v>3</v>
      </c>
      <c r="L74" s="42">
        <v>8.1</v>
      </c>
      <c r="M74" s="42">
        <v>24.3</v>
      </c>
      <c r="N74" s="39"/>
    </row>
    <row r="75" spans="1:14">
      <c r="A75" s="40"/>
      <c r="B75" s="39"/>
      <c r="C75" s="43" t="s">
        <v>562</v>
      </c>
      <c r="D75" s="43" t="s">
        <v>461</v>
      </c>
      <c r="E75" s="43">
        <v>2210</v>
      </c>
      <c r="F75" s="40"/>
      <c r="G75" s="122" t="s">
        <v>567</v>
      </c>
      <c r="H75" s="122" t="s">
        <v>572</v>
      </c>
      <c r="I75" s="124" t="s">
        <v>574</v>
      </c>
      <c r="J75" s="39" t="s">
        <v>12</v>
      </c>
      <c r="K75" s="41">
        <v>1</v>
      </c>
      <c r="L75" s="42">
        <v>4.45</v>
      </c>
      <c r="M75" s="42">
        <v>4.45</v>
      </c>
      <c r="N75" s="39"/>
    </row>
    <row r="76" spans="1:14">
      <c r="A76" s="40"/>
      <c r="B76" s="39"/>
      <c r="C76" s="43"/>
      <c r="D76" s="43"/>
      <c r="E76" s="43"/>
      <c r="F76" s="40"/>
      <c r="G76" s="122"/>
      <c r="H76" s="40"/>
      <c r="I76" s="39"/>
      <c r="J76" s="39"/>
      <c r="K76" s="41"/>
      <c r="L76" s="42"/>
      <c r="M76" s="42"/>
      <c r="N76" s="39"/>
    </row>
    <row r="77" spans="1:14">
      <c r="A77" s="40"/>
      <c r="B77" s="39"/>
      <c r="C77" s="43"/>
      <c r="D77" s="43"/>
      <c r="E77" s="43"/>
      <c r="F77" s="40"/>
      <c r="G77" s="122"/>
      <c r="H77" s="40"/>
      <c r="I77" s="39"/>
      <c r="J77" s="39"/>
      <c r="K77" s="41"/>
      <c r="L77" s="42"/>
      <c r="M77" s="42"/>
      <c r="N77" s="39"/>
    </row>
    <row r="78" spans="1:14">
      <c r="A78" s="45"/>
      <c r="B78" s="46"/>
      <c r="C78" s="47"/>
      <c r="D78" s="47"/>
      <c r="E78" s="47"/>
      <c r="F78" s="45"/>
      <c r="G78" s="45"/>
      <c r="H78" s="45"/>
      <c r="I78" s="46" t="s">
        <v>14</v>
      </c>
      <c r="J78" s="46"/>
      <c r="K78" s="48"/>
      <c r="L78" s="49"/>
      <c r="M78" s="49">
        <f>SUM(M73:M77)</f>
        <v>195963.25</v>
      </c>
      <c r="N78" s="46">
        <f>SUM(N73:N73)</f>
        <v>0</v>
      </c>
    </row>
    <row r="79" spans="1:14" ht="45" customHeight="1">
      <c r="A79" s="50">
        <v>1</v>
      </c>
      <c r="B79" s="51" t="s">
        <v>46</v>
      </c>
      <c r="C79" s="43" t="s">
        <v>562</v>
      </c>
      <c r="D79" s="43" t="s">
        <v>563</v>
      </c>
      <c r="E79" s="43">
        <v>2210</v>
      </c>
      <c r="F79" s="40"/>
      <c r="G79" s="122" t="s">
        <v>564</v>
      </c>
      <c r="H79" s="40">
        <v>1113</v>
      </c>
      <c r="I79" s="39" t="s">
        <v>401</v>
      </c>
      <c r="J79" s="39" t="s">
        <v>12</v>
      </c>
      <c r="K79" s="41">
        <v>10</v>
      </c>
      <c r="L79" s="42">
        <v>19593.45</v>
      </c>
      <c r="M79" s="42">
        <v>195934.5</v>
      </c>
      <c r="N79" s="42" t="s">
        <v>458</v>
      </c>
    </row>
    <row r="80" spans="1:14">
      <c r="A80" s="50"/>
      <c r="B80" s="51"/>
      <c r="C80" s="43" t="s">
        <v>72</v>
      </c>
      <c r="D80" s="43"/>
      <c r="E80" s="43">
        <v>3110</v>
      </c>
      <c r="F80" s="40"/>
      <c r="G80" s="122" t="s">
        <v>567</v>
      </c>
      <c r="H80" s="40">
        <v>1112</v>
      </c>
      <c r="I80" s="39" t="s">
        <v>344</v>
      </c>
      <c r="J80" s="39" t="s">
        <v>12</v>
      </c>
      <c r="K80" s="41">
        <v>74</v>
      </c>
      <c r="L80" s="42"/>
      <c r="M80" s="42">
        <v>9987.0400000000009</v>
      </c>
      <c r="N80" s="42" t="s">
        <v>458</v>
      </c>
    </row>
    <row r="81" spans="1:14">
      <c r="A81" s="50"/>
      <c r="B81" s="51"/>
      <c r="C81" s="43" t="s">
        <v>562</v>
      </c>
      <c r="D81" s="43" t="s">
        <v>461</v>
      </c>
      <c r="E81" s="43">
        <v>2210</v>
      </c>
      <c r="F81" s="40"/>
      <c r="G81" s="122" t="s">
        <v>567</v>
      </c>
      <c r="H81" s="122" t="s">
        <v>572</v>
      </c>
      <c r="I81" s="124" t="s">
        <v>573</v>
      </c>
      <c r="J81" s="39" t="s">
        <v>12</v>
      </c>
      <c r="K81" s="41">
        <v>5</v>
      </c>
      <c r="L81" s="42">
        <v>8.1</v>
      </c>
      <c r="M81" s="42">
        <v>40.5</v>
      </c>
      <c r="N81" s="42"/>
    </row>
    <row r="82" spans="1:14">
      <c r="A82" s="50"/>
      <c r="B82" s="51"/>
      <c r="C82" s="43" t="s">
        <v>562</v>
      </c>
      <c r="D82" s="43" t="s">
        <v>461</v>
      </c>
      <c r="E82" s="43">
        <v>2210</v>
      </c>
      <c r="F82" s="40"/>
      <c r="G82" s="122" t="s">
        <v>567</v>
      </c>
      <c r="H82" s="122" t="s">
        <v>572</v>
      </c>
      <c r="I82" s="124" t="s">
        <v>574</v>
      </c>
      <c r="J82" s="39" t="s">
        <v>12</v>
      </c>
      <c r="K82" s="41">
        <v>1</v>
      </c>
      <c r="L82" s="42">
        <v>4.45</v>
      </c>
      <c r="M82" s="42">
        <v>4.45</v>
      </c>
      <c r="N82" s="42"/>
    </row>
    <row r="83" spans="1:14">
      <c r="A83" s="50"/>
      <c r="B83" s="51"/>
      <c r="C83" s="43"/>
      <c r="D83" s="43"/>
      <c r="E83" s="43"/>
      <c r="F83" s="40"/>
      <c r="G83" s="40"/>
      <c r="H83" s="40"/>
      <c r="I83" s="39"/>
      <c r="J83" s="39"/>
      <c r="K83" s="41"/>
      <c r="L83" s="42"/>
      <c r="M83" s="42"/>
      <c r="N83" s="42" t="s">
        <v>458</v>
      </c>
    </row>
    <row r="84" spans="1:14">
      <c r="A84" s="45"/>
      <c r="B84" s="46"/>
      <c r="C84" s="47"/>
      <c r="D84" s="47"/>
      <c r="E84" s="47"/>
      <c r="F84" s="45"/>
      <c r="G84" s="45"/>
      <c r="H84" s="45"/>
      <c r="I84" s="46" t="s">
        <v>14</v>
      </c>
      <c r="J84" s="46"/>
      <c r="K84" s="48"/>
      <c r="L84" s="49"/>
      <c r="M84" s="49">
        <f>SUM(M79:M83)</f>
        <v>205966.49000000002</v>
      </c>
      <c r="N84" s="46"/>
    </row>
    <row r="85" spans="1:14" ht="45">
      <c r="A85" s="40">
        <v>1</v>
      </c>
      <c r="B85" s="39" t="s">
        <v>47</v>
      </c>
      <c r="C85" s="43" t="s">
        <v>562</v>
      </c>
      <c r="D85" s="43" t="s">
        <v>563</v>
      </c>
      <c r="E85" s="43">
        <v>2210</v>
      </c>
      <c r="F85" s="40"/>
      <c r="G85" s="122" t="s">
        <v>564</v>
      </c>
      <c r="H85" s="40">
        <v>1113</v>
      </c>
      <c r="I85" s="39" t="s">
        <v>401</v>
      </c>
      <c r="J85" s="39" t="s">
        <v>12</v>
      </c>
      <c r="K85" s="41">
        <v>20</v>
      </c>
      <c r="L85" s="42">
        <v>19593.45</v>
      </c>
      <c r="M85" s="42">
        <v>391869</v>
      </c>
      <c r="N85" s="42" t="s">
        <v>458</v>
      </c>
    </row>
    <row r="86" spans="1:14">
      <c r="A86" s="40">
        <v>2</v>
      </c>
      <c r="B86" s="39" t="s">
        <v>47</v>
      </c>
      <c r="C86" s="43" t="s">
        <v>562</v>
      </c>
      <c r="D86" s="43" t="s">
        <v>461</v>
      </c>
      <c r="E86" s="43">
        <v>2210</v>
      </c>
      <c r="F86" s="40"/>
      <c r="G86" s="122" t="s">
        <v>567</v>
      </c>
      <c r="H86" s="122" t="s">
        <v>572</v>
      </c>
      <c r="I86" s="124" t="s">
        <v>573</v>
      </c>
      <c r="J86" s="39" t="s">
        <v>12</v>
      </c>
      <c r="K86" s="41">
        <v>3</v>
      </c>
      <c r="L86" s="42">
        <v>8.1</v>
      </c>
      <c r="M86" s="42">
        <v>24.3</v>
      </c>
      <c r="N86" s="42" t="s">
        <v>458</v>
      </c>
    </row>
    <row r="87" spans="1:14">
      <c r="A87" s="40">
        <v>3</v>
      </c>
      <c r="B87" s="39" t="s">
        <v>47</v>
      </c>
      <c r="C87" s="43" t="s">
        <v>562</v>
      </c>
      <c r="D87" s="43" t="s">
        <v>461</v>
      </c>
      <c r="E87" s="43">
        <v>2210</v>
      </c>
      <c r="F87" s="40"/>
      <c r="G87" s="122" t="s">
        <v>567</v>
      </c>
      <c r="H87" s="122" t="s">
        <v>572</v>
      </c>
      <c r="I87" s="124" t="s">
        <v>574</v>
      </c>
      <c r="J87" s="39" t="s">
        <v>12</v>
      </c>
      <c r="K87" s="41">
        <v>1</v>
      </c>
      <c r="L87" s="42">
        <v>4.45</v>
      </c>
      <c r="M87" s="42">
        <v>4.45</v>
      </c>
      <c r="N87" s="42" t="s">
        <v>458</v>
      </c>
    </row>
    <row r="88" spans="1:14">
      <c r="A88" s="40">
        <v>4</v>
      </c>
      <c r="B88" s="39" t="s">
        <v>47</v>
      </c>
      <c r="C88" s="43"/>
      <c r="D88" s="92"/>
      <c r="E88" s="43"/>
      <c r="F88" s="40"/>
      <c r="G88" s="40"/>
      <c r="H88" s="40"/>
      <c r="I88" s="39"/>
      <c r="J88" s="39"/>
      <c r="K88" s="41"/>
      <c r="L88" s="42"/>
      <c r="M88" s="42"/>
      <c r="N88" s="42" t="s">
        <v>458</v>
      </c>
    </row>
    <row r="89" spans="1:14">
      <c r="A89" s="45"/>
      <c r="B89" s="46"/>
      <c r="C89" s="47"/>
      <c r="D89" s="47"/>
      <c r="E89" s="47"/>
      <c r="F89" s="45"/>
      <c r="G89" s="45"/>
      <c r="H89" s="45"/>
      <c r="I89" s="46" t="s">
        <v>14</v>
      </c>
      <c r="J89" s="46"/>
      <c r="K89" s="48"/>
      <c r="L89" s="49"/>
      <c r="M89" s="49">
        <f>SUM(M85:M88)</f>
        <v>391897.75</v>
      </c>
      <c r="N89" s="46">
        <f>SUM(N85:N88)</f>
        <v>0</v>
      </c>
    </row>
    <row r="90" spans="1:14" ht="48" customHeight="1">
      <c r="A90" s="50">
        <v>1</v>
      </c>
      <c r="B90" s="51" t="s">
        <v>48</v>
      </c>
      <c r="C90" s="43" t="s">
        <v>562</v>
      </c>
      <c r="D90" s="43" t="s">
        <v>563</v>
      </c>
      <c r="E90" s="43">
        <v>2210</v>
      </c>
      <c r="F90" s="40"/>
      <c r="G90" s="122" t="s">
        <v>564</v>
      </c>
      <c r="H90" s="40">
        <v>1113</v>
      </c>
      <c r="I90" s="39" t="s">
        <v>401</v>
      </c>
      <c r="J90" s="39" t="s">
        <v>12</v>
      </c>
      <c r="K90" s="41">
        <v>30</v>
      </c>
      <c r="L90" s="42">
        <v>19593.45</v>
      </c>
      <c r="M90" s="42">
        <v>587803.5</v>
      </c>
      <c r="N90" s="42" t="s">
        <v>458</v>
      </c>
    </row>
    <row r="91" spans="1:14">
      <c r="A91" s="50"/>
      <c r="B91" s="51" t="s">
        <v>48</v>
      </c>
      <c r="C91" s="43" t="s">
        <v>562</v>
      </c>
      <c r="D91" s="43" t="s">
        <v>461</v>
      </c>
      <c r="E91" s="43">
        <v>2210</v>
      </c>
      <c r="F91" s="40"/>
      <c r="G91" s="122" t="s">
        <v>567</v>
      </c>
      <c r="H91" s="122" t="s">
        <v>572</v>
      </c>
      <c r="I91" s="124" t="s">
        <v>573</v>
      </c>
      <c r="J91" s="39" t="s">
        <v>12</v>
      </c>
      <c r="K91" s="41">
        <v>4</v>
      </c>
      <c r="L91" s="42">
        <v>8.1</v>
      </c>
      <c r="M91" s="42">
        <v>32.4</v>
      </c>
      <c r="N91" s="42"/>
    </row>
    <row r="92" spans="1:14">
      <c r="A92" s="50"/>
      <c r="B92" s="51" t="s">
        <v>48</v>
      </c>
      <c r="C92" s="43" t="s">
        <v>562</v>
      </c>
      <c r="D92" s="43" t="s">
        <v>461</v>
      </c>
      <c r="E92" s="43">
        <v>2210</v>
      </c>
      <c r="F92" s="40"/>
      <c r="G92" s="122" t="s">
        <v>567</v>
      </c>
      <c r="H92" s="122" t="s">
        <v>572</v>
      </c>
      <c r="I92" s="124" t="s">
        <v>574</v>
      </c>
      <c r="J92" s="39" t="s">
        <v>12</v>
      </c>
      <c r="K92" s="41">
        <v>1</v>
      </c>
      <c r="L92" s="42">
        <v>4.45</v>
      </c>
      <c r="M92" s="42">
        <v>4.45</v>
      </c>
      <c r="N92" s="42"/>
    </row>
    <row r="93" spans="1:14">
      <c r="A93" s="50"/>
      <c r="B93" s="51" t="s">
        <v>48</v>
      </c>
      <c r="C93" s="43"/>
      <c r="D93" s="43"/>
      <c r="E93" s="43"/>
      <c r="F93" s="40"/>
      <c r="G93" s="122"/>
      <c r="H93" s="40"/>
      <c r="I93" s="39"/>
      <c r="J93" s="39"/>
      <c r="K93" s="41"/>
      <c r="L93" s="42"/>
      <c r="M93" s="42"/>
      <c r="N93" s="42"/>
    </row>
    <row r="94" spans="1:14">
      <c r="A94" s="50"/>
      <c r="B94" s="51" t="s">
        <v>48</v>
      </c>
      <c r="C94" s="43"/>
      <c r="D94" s="43"/>
      <c r="E94" s="43"/>
      <c r="F94" s="40"/>
      <c r="G94" s="122"/>
      <c r="H94" s="40"/>
      <c r="I94" s="39"/>
      <c r="J94" s="39"/>
      <c r="K94" s="41"/>
      <c r="L94" s="42"/>
      <c r="M94" s="42"/>
      <c r="N94" s="42"/>
    </row>
    <row r="95" spans="1:14">
      <c r="A95" s="45"/>
      <c r="B95" s="46"/>
      <c r="C95" s="47"/>
      <c r="D95" s="47"/>
      <c r="E95" s="47"/>
      <c r="F95" s="45"/>
      <c r="G95" s="45"/>
      <c r="H95" s="45"/>
      <c r="I95" s="46" t="s">
        <v>14</v>
      </c>
      <c r="J95" s="46"/>
      <c r="K95" s="48"/>
      <c r="L95" s="49"/>
      <c r="M95" s="49">
        <f>SUM(M90:M94)</f>
        <v>587840.35</v>
      </c>
      <c r="N95" s="46">
        <f>SUM(N90:N90)</f>
        <v>0</v>
      </c>
    </row>
    <row r="96" spans="1:14" ht="47.25" customHeight="1">
      <c r="A96" s="40">
        <v>1</v>
      </c>
      <c r="B96" s="39" t="s">
        <v>49</v>
      </c>
      <c r="C96" s="43" t="s">
        <v>562</v>
      </c>
      <c r="D96" s="43" t="s">
        <v>563</v>
      </c>
      <c r="E96" s="43">
        <v>2210</v>
      </c>
      <c r="F96" s="40"/>
      <c r="G96" s="122" t="s">
        <v>564</v>
      </c>
      <c r="H96" s="40">
        <v>1113</v>
      </c>
      <c r="I96" s="39" t="s">
        <v>401</v>
      </c>
      <c r="J96" s="39" t="s">
        <v>12</v>
      </c>
      <c r="K96" s="41">
        <v>30</v>
      </c>
      <c r="L96" s="42">
        <v>19593.45</v>
      </c>
      <c r="M96" s="42">
        <v>587803.5</v>
      </c>
      <c r="N96" s="42" t="s">
        <v>458</v>
      </c>
    </row>
    <row r="97" spans="1:14">
      <c r="A97" s="40">
        <v>2</v>
      </c>
      <c r="B97" s="39" t="s">
        <v>49</v>
      </c>
      <c r="C97" s="43" t="s">
        <v>72</v>
      </c>
      <c r="D97" s="43"/>
      <c r="E97" s="43">
        <v>3110</v>
      </c>
      <c r="F97" s="40"/>
      <c r="G97" s="122" t="s">
        <v>567</v>
      </c>
      <c r="H97" s="40">
        <v>1112</v>
      </c>
      <c r="I97" s="39" t="s">
        <v>344</v>
      </c>
      <c r="J97" s="39" t="s">
        <v>12</v>
      </c>
      <c r="K97" s="41">
        <v>60</v>
      </c>
      <c r="L97" s="42"/>
      <c r="M97" s="42">
        <v>8097.6</v>
      </c>
      <c r="N97" s="42" t="s">
        <v>459</v>
      </c>
    </row>
    <row r="98" spans="1:14" ht="30">
      <c r="A98" s="40">
        <v>3</v>
      </c>
      <c r="B98" s="39" t="s">
        <v>49</v>
      </c>
      <c r="C98" s="43" t="s">
        <v>581</v>
      </c>
      <c r="D98" s="43"/>
      <c r="E98" s="43">
        <v>2210</v>
      </c>
      <c r="F98" s="40"/>
      <c r="G98" s="122" t="s">
        <v>567</v>
      </c>
      <c r="H98" s="40" t="s">
        <v>11</v>
      </c>
      <c r="I98" s="39" t="s">
        <v>377</v>
      </c>
      <c r="J98" s="39" t="s">
        <v>12</v>
      </c>
      <c r="K98" s="53">
        <f>1+2+2+5</f>
        <v>10</v>
      </c>
      <c r="L98" s="52"/>
      <c r="M98" s="52">
        <f>396.05+865.99+967.96+1639.98</f>
        <v>3869.98</v>
      </c>
      <c r="N98" s="42" t="s">
        <v>459</v>
      </c>
    </row>
    <row r="99" spans="1:14" ht="30">
      <c r="A99" s="40">
        <v>4</v>
      </c>
      <c r="B99" s="39" t="s">
        <v>49</v>
      </c>
      <c r="C99" s="43" t="s">
        <v>581</v>
      </c>
      <c r="D99" s="43"/>
      <c r="E99" s="43">
        <v>2210</v>
      </c>
      <c r="F99" s="40"/>
      <c r="G99" s="122" t="s">
        <v>567</v>
      </c>
      <c r="H99" s="40" t="s">
        <v>11</v>
      </c>
      <c r="I99" s="39" t="s">
        <v>378</v>
      </c>
      <c r="J99" s="39" t="s">
        <v>12</v>
      </c>
      <c r="K99" s="53">
        <v>1</v>
      </c>
      <c r="L99" s="52"/>
      <c r="M99" s="52">
        <v>112</v>
      </c>
      <c r="N99" s="42" t="s">
        <v>459</v>
      </c>
    </row>
    <row r="100" spans="1:14" ht="30">
      <c r="A100" s="40">
        <v>5</v>
      </c>
      <c r="B100" s="39" t="s">
        <v>49</v>
      </c>
      <c r="C100" s="43" t="s">
        <v>581</v>
      </c>
      <c r="D100" s="43"/>
      <c r="E100" s="43">
        <v>2210</v>
      </c>
      <c r="F100" s="40"/>
      <c r="G100" s="122" t="s">
        <v>567</v>
      </c>
      <c r="H100" s="40" t="s">
        <v>11</v>
      </c>
      <c r="I100" s="39" t="s">
        <v>88</v>
      </c>
      <c r="J100" s="39" t="s">
        <v>12</v>
      </c>
      <c r="K100" s="53">
        <v>10</v>
      </c>
      <c r="L100" s="52"/>
      <c r="M100" s="52">
        <v>500.04</v>
      </c>
      <c r="N100" s="42" t="s">
        <v>459</v>
      </c>
    </row>
    <row r="101" spans="1:14" ht="30">
      <c r="A101" s="40">
        <v>6</v>
      </c>
      <c r="B101" s="39" t="s">
        <v>49</v>
      </c>
      <c r="C101" s="43" t="s">
        <v>581</v>
      </c>
      <c r="D101" s="43"/>
      <c r="E101" s="43">
        <v>2210</v>
      </c>
      <c r="F101" s="40"/>
      <c r="G101" s="122" t="s">
        <v>567</v>
      </c>
      <c r="H101" s="40" t="s">
        <v>11</v>
      </c>
      <c r="I101" s="39" t="s">
        <v>582</v>
      </c>
      <c r="J101" s="39" t="s">
        <v>12</v>
      </c>
      <c r="K101" s="53">
        <v>5</v>
      </c>
      <c r="L101" s="52"/>
      <c r="M101" s="52">
        <v>574.98</v>
      </c>
      <c r="N101" s="42" t="s">
        <v>459</v>
      </c>
    </row>
    <row r="102" spans="1:14" ht="30">
      <c r="A102" s="40"/>
      <c r="B102" s="39" t="s">
        <v>49</v>
      </c>
      <c r="C102" s="43" t="s">
        <v>581</v>
      </c>
      <c r="D102" s="43"/>
      <c r="E102" s="43">
        <v>2210</v>
      </c>
      <c r="F102" s="40"/>
      <c r="G102" s="122" t="s">
        <v>567</v>
      </c>
      <c r="H102" s="40" t="s">
        <v>11</v>
      </c>
      <c r="I102" s="39" t="s">
        <v>583</v>
      </c>
      <c r="J102" s="39" t="s">
        <v>585</v>
      </c>
      <c r="K102" s="53">
        <v>2</v>
      </c>
      <c r="L102" s="52"/>
      <c r="M102" s="52">
        <v>252</v>
      </c>
      <c r="N102" s="42"/>
    </row>
    <row r="103" spans="1:14" ht="30">
      <c r="A103" s="40">
        <v>7</v>
      </c>
      <c r="B103" s="39" t="s">
        <v>49</v>
      </c>
      <c r="C103" s="43" t="s">
        <v>581</v>
      </c>
      <c r="D103" s="43"/>
      <c r="E103" s="43">
        <v>2210</v>
      </c>
      <c r="F103" s="40"/>
      <c r="G103" s="122" t="s">
        <v>567</v>
      </c>
      <c r="H103" s="40" t="s">
        <v>11</v>
      </c>
      <c r="I103" s="39" t="s">
        <v>584</v>
      </c>
      <c r="J103" s="39" t="s">
        <v>12</v>
      </c>
      <c r="K103" s="53">
        <v>2</v>
      </c>
      <c r="L103" s="52"/>
      <c r="M103" s="52">
        <v>780</v>
      </c>
      <c r="N103" s="42" t="s">
        <v>459</v>
      </c>
    </row>
    <row r="104" spans="1:14">
      <c r="A104" s="45"/>
      <c r="B104" s="46"/>
      <c r="C104" s="47"/>
      <c r="D104" s="47"/>
      <c r="E104" s="47"/>
      <c r="F104" s="45"/>
      <c r="G104" s="45"/>
      <c r="H104" s="45"/>
      <c r="I104" s="46" t="s">
        <v>14</v>
      </c>
      <c r="J104" s="46"/>
      <c r="K104" s="48"/>
      <c r="L104" s="49"/>
      <c r="M104" s="49">
        <f>SUM(M96:M103)</f>
        <v>601990.1</v>
      </c>
      <c r="N104" s="46">
        <f>SUM(N96:N103)</f>
        <v>0</v>
      </c>
    </row>
    <row r="105" spans="1:14" ht="50.25" customHeight="1">
      <c r="A105" s="50">
        <v>1</v>
      </c>
      <c r="B105" s="51" t="s">
        <v>55</v>
      </c>
      <c r="C105" s="43" t="s">
        <v>562</v>
      </c>
      <c r="D105" s="43" t="s">
        <v>563</v>
      </c>
      <c r="E105" s="43">
        <v>2210</v>
      </c>
      <c r="F105" s="40"/>
      <c r="G105" s="122" t="s">
        <v>564</v>
      </c>
      <c r="H105" s="40">
        <v>1113</v>
      </c>
      <c r="I105" s="39" t="s">
        <v>401</v>
      </c>
      <c r="J105" s="39" t="s">
        <v>12</v>
      </c>
      <c r="K105" s="41">
        <v>30</v>
      </c>
      <c r="L105" s="42">
        <v>19593.45</v>
      </c>
      <c r="M105" s="42">
        <v>587803.5</v>
      </c>
      <c r="N105" s="42" t="s">
        <v>458</v>
      </c>
    </row>
    <row r="106" spans="1:14">
      <c r="A106" s="50"/>
      <c r="B106" s="51"/>
      <c r="C106" s="43" t="s">
        <v>72</v>
      </c>
      <c r="D106" s="43"/>
      <c r="E106" s="43">
        <v>3110</v>
      </c>
      <c r="F106" s="40"/>
      <c r="G106" s="122" t="s">
        <v>567</v>
      </c>
      <c r="H106" s="40">
        <v>1112</v>
      </c>
      <c r="I106" s="39" t="s">
        <v>344</v>
      </c>
      <c r="J106" s="39" t="s">
        <v>12</v>
      </c>
      <c r="K106" s="41">
        <v>60</v>
      </c>
      <c r="L106" s="42"/>
      <c r="M106" s="42">
        <v>8097.6</v>
      </c>
      <c r="N106" s="42"/>
    </row>
    <row r="107" spans="1:14">
      <c r="A107" s="50"/>
      <c r="B107" s="51"/>
      <c r="C107" s="43" t="s">
        <v>562</v>
      </c>
      <c r="D107" s="43" t="s">
        <v>461</v>
      </c>
      <c r="E107" s="43">
        <v>2210</v>
      </c>
      <c r="F107" s="40"/>
      <c r="G107" s="122" t="s">
        <v>567</v>
      </c>
      <c r="H107" s="122" t="s">
        <v>572</v>
      </c>
      <c r="I107" s="124" t="s">
        <v>573</v>
      </c>
      <c r="J107" s="39" t="s">
        <v>12</v>
      </c>
      <c r="K107" s="41">
        <v>3</v>
      </c>
      <c r="L107" s="42">
        <v>8.1</v>
      </c>
      <c r="M107" s="42">
        <v>24.3</v>
      </c>
      <c r="N107" s="42"/>
    </row>
    <row r="108" spans="1:14">
      <c r="A108" s="50"/>
      <c r="B108" s="51"/>
      <c r="C108" s="43" t="s">
        <v>562</v>
      </c>
      <c r="D108" s="43" t="s">
        <v>461</v>
      </c>
      <c r="E108" s="43">
        <v>2210</v>
      </c>
      <c r="F108" s="40"/>
      <c r="G108" s="122" t="s">
        <v>567</v>
      </c>
      <c r="H108" s="122" t="s">
        <v>572</v>
      </c>
      <c r="I108" s="124" t="s">
        <v>574</v>
      </c>
      <c r="J108" s="39" t="s">
        <v>12</v>
      </c>
      <c r="K108" s="41">
        <v>1</v>
      </c>
      <c r="L108" s="42">
        <v>4.45</v>
      </c>
      <c r="M108" s="42">
        <v>4.45</v>
      </c>
      <c r="N108" s="42"/>
    </row>
    <row r="109" spans="1:14">
      <c r="A109" s="50"/>
      <c r="B109" s="51"/>
      <c r="C109" s="43" t="s">
        <v>247</v>
      </c>
      <c r="D109" s="43"/>
      <c r="E109" s="43">
        <v>2210</v>
      </c>
      <c r="F109" s="40"/>
      <c r="G109" s="122" t="s">
        <v>567</v>
      </c>
      <c r="H109" s="40">
        <v>1113</v>
      </c>
      <c r="I109" s="39" t="s">
        <v>586</v>
      </c>
      <c r="J109" s="39" t="s">
        <v>12</v>
      </c>
      <c r="K109" s="41">
        <v>1</v>
      </c>
      <c r="L109" s="42"/>
      <c r="M109" s="42">
        <v>13000</v>
      </c>
      <c r="N109" s="42"/>
    </row>
    <row r="110" spans="1:14">
      <c r="A110" s="45"/>
      <c r="B110" s="46"/>
      <c r="C110" s="47"/>
      <c r="D110" s="47"/>
      <c r="E110" s="47"/>
      <c r="F110" s="45"/>
      <c r="G110" s="45"/>
      <c r="H110" s="45"/>
      <c r="I110" s="46" t="s">
        <v>14</v>
      </c>
      <c r="J110" s="46"/>
      <c r="K110" s="48"/>
      <c r="L110" s="49"/>
      <c r="M110" s="49">
        <f>SUM(M105:N109)</f>
        <v>608929.85</v>
      </c>
      <c r="N110" s="46"/>
    </row>
    <row r="111" spans="1:14" s="57" customFormat="1" ht="45.75" customHeight="1">
      <c r="A111" s="50"/>
      <c r="B111" s="51" t="s">
        <v>168</v>
      </c>
      <c r="C111" s="43" t="s">
        <v>562</v>
      </c>
      <c r="D111" s="43" t="s">
        <v>563</v>
      </c>
      <c r="E111" s="43">
        <v>2210</v>
      </c>
      <c r="F111" s="40"/>
      <c r="G111" s="122" t="s">
        <v>564</v>
      </c>
      <c r="H111" s="40">
        <v>1113</v>
      </c>
      <c r="I111" s="39" t="s">
        <v>401</v>
      </c>
      <c r="J111" s="39" t="s">
        <v>12</v>
      </c>
      <c r="K111" s="41">
        <v>10</v>
      </c>
      <c r="L111" s="42">
        <v>19593.45</v>
      </c>
      <c r="M111" s="42">
        <v>195934.5</v>
      </c>
      <c r="N111" s="42" t="s">
        <v>458</v>
      </c>
    </row>
    <row r="112" spans="1:14" s="57" customFormat="1">
      <c r="A112" s="50"/>
      <c r="B112" s="51"/>
      <c r="C112" s="43" t="s">
        <v>72</v>
      </c>
      <c r="D112" s="43"/>
      <c r="E112" s="43">
        <v>3110</v>
      </c>
      <c r="F112" s="40"/>
      <c r="G112" s="122" t="s">
        <v>567</v>
      </c>
      <c r="H112" s="40">
        <v>1112</v>
      </c>
      <c r="I112" s="39" t="s">
        <v>344</v>
      </c>
      <c r="J112" s="39" t="s">
        <v>12</v>
      </c>
      <c r="K112" s="41">
        <v>61</v>
      </c>
      <c r="L112" s="42"/>
      <c r="M112" s="42">
        <v>7460.3</v>
      </c>
      <c r="N112" s="42"/>
    </row>
    <row r="113" spans="1:14" s="57" customFormat="1">
      <c r="A113" s="50"/>
      <c r="B113" s="51"/>
      <c r="C113" s="43"/>
      <c r="D113" s="43"/>
      <c r="E113" s="43"/>
      <c r="F113" s="40"/>
      <c r="G113" s="122"/>
      <c r="H113" s="40"/>
      <c r="I113" s="39"/>
      <c r="J113" s="39"/>
      <c r="K113" s="41"/>
      <c r="L113" s="42"/>
      <c r="M113" s="42"/>
      <c r="N113" s="42"/>
    </row>
    <row r="114" spans="1:14" s="57" customFormat="1">
      <c r="A114" s="50"/>
      <c r="B114" s="51"/>
      <c r="C114" s="43"/>
      <c r="D114" s="43"/>
      <c r="E114" s="43"/>
      <c r="F114" s="40"/>
      <c r="G114" s="122"/>
      <c r="H114" s="40"/>
      <c r="I114" s="39"/>
      <c r="J114" s="39"/>
      <c r="K114" s="41"/>
      <c r="L114" s="42"/>
      <c r="M114" s="42"/>
      <c r="N114" s="42"/>
    </row>
    <row r="115" spans="1:14" s="57" customFormat="1">
      <c r="A115" s="50"/>
      <c r="B115" s="51"/>
      <c r="C115" s="43"/>
      <c r="D115" s="43"/>
      <c r="E115" s="43"/>
      <c r="F115" s="40"/>
      <c r="G115" s="122"/>
      <c r="H115" s="40"/>
      <c r="I115" s="39"/>
      <c r="J115" s="39"/>
      <c r="K115" s="41"/>
      <c r="L115" s="42"/>
      <c r="M115" s="42"/>
      <c r="N115" s="42"/>
    </row>
    <row r="116" spans="1:14">
      <c r="A116" s="45"/>
      <c r="B116" s="46"/>
      <c r="C116" s="47"/>
      <c r="D116" s="47"/>
      <c r="E116" s="47"/>
      <c r="F116" s="45"/>
      <c r="G116" s="45"/>
      <c r="H116" s="45"/>
      <c r="I116" s="46" t="s">
        <v>14</v>
      </c>
      <c r="J116" s="46"/>
      <c r="K116" s="48"/>
      <c r="L116" s="49"/>
      <c r="M116" s="49">
        <f>SUM(M111:M115)</f>
        <v>203394.8</v>
      </c>
      <c r="N116" s="46"/>
    </row>
    <row r="117" spans="1:14" ht="45.75" customHeight="1">
      <c r="A117" s="40">
        <v>1</v>
      </c>
      <c r="B117" s="39" t="s">
        <v>51</v>
      </c>
      <c r="C117" s="43" t="s">
        <v>562</v>
      </c>
      <c r="D117" s="43" t="s">
        <v>563</v>
      </c>
      <c r="E117" s="43">
        <v>2210</v>
      </c>
      <c r="F117" s="40"/>
      <c r="G117" s="122" t="s">
        <v>564</v>
      </c>
      <c r="H117" s="40">
        <v>1113</v>
      </c>
      <c r="I117" s="39" t="s">
        <v>401</v>
      </c>
      <c r="J117" s="39" t="s">
        <v>12</v>
      </c>
      <c r="K117" s="41">
        <v>30</v>
      </c>
      <c r="L117" s="42">
        <v>19593.45</v>
      </c>
      <c r="M117" s="42">
        <v>587803.5</v>
      </c>
      <c r="N117" s="39"/>
    </row>
    <row r="118" spans="1:14">
      <c r="A118" s="40"/>
      <c r="B118" s="39"/>
      <c r="C118" s="43" t="s">
        <v>72</v>
      </c>
      <c r="D118" s="43"/>
      <c r="E118" s="43">
        <v>3110</v>
      </c>
      <c r="F118" s="40"/>
      <c r="G118" s="122" t="s">
        <v>567</v>
      </c>
      <c r="H118" s="40">
        <v>1112</v>
      </c>
      <c r="I118" s="39" t="s">
        <v>344</v>
      </c>
      <c r="J118" s="39" t="s">
        <v>12</v>
      </c>
      <c r="K118" s="41">
        <v>20</v>
      </c>
      <c r="L118" s="42"/>
      <c r="M118" s="42">
        <f>2699.8</f>
        <v>2699.8</v>
      </c>
      <c r="N118" s="39"/>
    </row>
    <row r="119" spans="1:14">
      <c r="A119" s="40"/>
      <c r="B119" s="39"/>
      <c r="C119" s="43" t="s">
        <v>72</v>
      </c>
      <c r="D119" s="43"/>
      <c r="E119" s="43">
        <v>3110</v>
      </c>
      <c r="F119" s="40"/>
      <c r="G119" s="122" t="s">
        <v>567</v>
      </c>
      <c r="H119" s="40">
        <v>1112</v>
      </c>
      <c r="I119" s="39" t="s">
        <v>344</v>
      </c>
      <c r="J119" s="39" t="s">
        <v>12</v>
      </c>
      <c r="K119" s="41">
        <v>22</v>
      </c>
      <c r="L119" s="42"/>
      <c r="M119" s="42">
        <v>2969.12</v>
      </c>
      <c r="N119" s="39"/>
    </row>
    <row r="120" spans="1:14">
      <c r="A120" s="40"/>
      <c r="B120" s="39"/>
      <c r="C120" s="43" t="s">
        <v>562</v>
      </c>
      <c r="D120" s="43" t="s">
        <v>461</v>
      </c>
      <c r="E120" s="43">
        <v>2210</v>
      </c>
      <c r="F120" s="40"/>
      <c r="G120" s="122" t="s">
        <v>567</v>
      </c>
      <c r="H120" s="122" t="s">
        <v>572</v>
      </c>
      <c r="I120" s="124" t="s">
        <v>573</v>
      </c>
      <c r="J120" s="39" t="s">
        <v>12</v>
      </c>
      <c r="K120" s="41">
        <v>3</v>
      </c>
      <c r="L120" s="42">
        <v>8.1</v>
      </c>
      <c r="M120" s="42">
        <v>24.3</v>
      </c>
      <c r="N120" s="39"/>
    </row>
    <row r="121" spans="1:14">
      <c r="A121" s="40"/>
      <c r="B121" s="39"/>
      <c r="C121" s="43" t="s">
        <v>562</v>
      </c>
      <c r="D121" s="43" t="s">
        <v>461</v>
      </c>
      <c r="E121" s="43">
        <v>2210</v>
      </c>
      <c r="F121" s="40"/>
      <c r="G121" s="122" t="s">
        <v>567</v>
      </c>
      <c r="H121" s="122" t="s">
        <v>572</v>
      </c>
      <c r="I121" s="124" t="s">
        <v>574</v>
      </c>
      <c r="J121" s="39" t="s">
        <v>12</v>
      </c>
      <c r="K121" s="41">
        <v>1</v>
      </c>
      <c r="L121" s="42">
        <v>4.45</v>
      </c>
      <c r="M121" s="42">
        <v>4.45</v>
      </c>
      <c r="N121" s="39"/>
    </row>
    <row r="122" spans="1:14">
      <c r="A122" s="45"/>
      <c r="B122" s="46"/>
      <c r="C122" s="47"/>
      <c r="D122" s="47"/>
      <c r="E122" s="47"/>
      <c r="F122" s="45"/>
      <c r="G122" s="45"/>
      <c r="H122" s="45"/>
      <c r="I122" s="46" t="s">
        <v>14</v>
      </c>
      <c r="J122" s="46"/>
      <c r="K122" s="48"/>
      <c r="L122" s="49"/>
      <c r="M122" s="49">
        <f>SUM(M117:M121)</f>
        <v>593501.17000000004</v>
      </c>
      <c r="N122" s="46">
        <f>SUM(N117:N117)</f>
        <v>0</v>
      </c>
    </row>
    <row r="123" spans="1:14" ht="45" customHeight="1">
      <c r="A123" s="50">
        <v>1</v>
      </c>
      <c r="B123" s="51" t="s">
        <v>52</v>
      </c>
      <c r="C123" s="43" t="s">
        <v>562</v>
      </c>
      <c r="D123" s="43" t="s">
        <v>563</v>
      </c>
      <c r="E123" s="43">
        <v>2210</v>
      </c>
      <c r="F123" s="40"/>
      <c r="G123" s="122" t="s">
        <v>564</v>
      </c>
      <c r="H123" s="40">
        <v>1113</v>
      </c>
      <c r="I123" s="39" t="s">
        <v>401</v>
      </c>
      <c r="J123" s="39" t="s">
        <v>12</v>
      </c>
      <c r="K123" s="41">
        <v>20</v>
      </c>
      <c r="L123" s="42">
        <v>19593.45</v>
      </c>
      <c r="M123" s="42">
        <v>391869</v>
      </c>
      <c r="N123" s="42" t="s">
        <v>458</v>
      </c>
    </row>
    <row r="124" spans="1:14">
      <c r="A124" s="50">
        <v>2</v>
      </c>
      <c r="B124" s="51" t="s">
        <v>52</v>
      </c>
      <c r="C124" s="43" t="s">
        <v>72</v>
      </c>
      <c r="D124" s="43"/>
      <c r="E124" s="43">
        <v>3110</v>
      </c>
      <c r="F124" s="40"/>
      <c r="G124" s="122" t="s">
        <v>567</v>
      </c>
      <c r="H124" s="40">
        <v>1112</v>
      </c>
      <c r="I124" s="39" t="s">
        <v>344</v>
      </c>
      <c r="J124" s="39" t="s">
        <v>12</v>
      </c>
      <c r="K124" s="41">
        <v>60</v>
      </c>
      <c r="L124" s="42"/>
      <c r="M124" s="42">
        <v>7338</v>
      </c>
      <c r="N124" s="42" t="s">
        <v>458</v>
      </c>
    </row>
    <row r="125" spans="1:14">
      <c r="A125" s="50">
        <v>3</v>
      </c>
      <c r="B125" s="51" t="s">
        <v>52</v>
      </c>
      <c r="C125" s="43" t="s">
        <v>562</v>
      </c>
      <c r="D125" s="43" t="s">
        <v>461</v>
      </c>
      <c r="E125" s="43">
        <v>2210</v>
      </c>
      <c r="F125" s="40"/>
      <c r="G125" s="122" t="s">
        <v>567</v>
      </c>
      <c r="H125" s="122" t="s">
        <v>572</v>
      </c>
      <c r="I125" s="124" t="s">
        <v>573</v>
      </c>
      <c r="J125" s="39" t="s">
        <v>12</v>
      </c>
      <c r="K125" s="41">
        <v>3</v>
      </c>
      <c r="L125" s="42">
        <v>8.1</v>
      </c>
      <c r="M125" s="42">
        <v>24.3</v>
      </c>
      <c r="N125" s="42" t="s">
        <v>458</v>
      </c>
    </row>
    <row r="126" spans="1:14">
      <c r="A126" s="50">
        <v>4</v>
      </c>
      <c r="B126" s="51" t="s">
        <v>52</v>
      </c>
      <c r="C126" s="43" t="s">
        <v>562</v>
      </c>
      <c r="D126" s="43" t="s">
        <v>461</v>
      </c>
      <c r="E126" s="43">
        <v>2210</v>
      </c>
      <c r="F126" s="40"/>
      <c r="G126" s="122" t="s">
        <v>567</v>
      </c>
      <c r="H126" s="122" t="s">
        <v>572</v>
      </c>
      <c r="I126" s="124" t="s">
        <v>574</v>
      </c>
      <c r="J126" s="39" t="s">
        <v>12</v>
      </c>
      <c r="K126" s="41">
        <v>1</v>
      </c>
      <c r="L126" s="42">
        <v>4.45</v>
      </c>
      <c r="M126" s="42">
        <v>4.45</v>
      </c>
      <c r="N126" s="42" t="s">
        <v>458</v>
      </c>
    </row>
    <row r="127" spans="1:14">
      <c r="A127" s="45"/>
      <c r="B127" s="46"/>
      <c r="C127" s="47"/>
      <c r="D127" s="47"/>
      <c r="E127" s="47"/>
      <c r="F127" s="45"/>
      <c r="G127" s="45"/>
      <c r="H127" s="45"/>
      <c r="I127" s="46" t="s">
        <v>14</v>
      </c>
      <c r="J127" s="46"/>
      <c r="K127" s="48"/>
      <c r="L127" s="49"/>
      <c r="M127" s="49">
        <f>SUM(M123:M126)</f>
        <v>399235.75</v>
      </c>
      <c r="N127" s="46">
        <f>SUM(N123:N126)</f>
        <v>0</v>
      </c>
    </row>
    <row r="128" spans="1:14" ht="49.5" customHeight="1">
      <c r="A128" s="50">
        <v>1</v>
      </c>
      <c r="B128" s="51" t="s">
        <v>84</v>
      </c>
      <c r="C128" s="43" t="s">
        <v>562</v>
      </c>
      <c r="D128" s="43" t="s">
        <v>563</v>
      </c>
      <c r="E128" s="43">
        <v>2210</v>
      </c>
      <c r="F128" s="40"/>
      <c r="G128" s="122" t="s">
        <v>564</v>
      </c>
      <c r="H128" s="40">
        <v>1113</v>
      </c>
      <c r="I128" s="39" t="s">
        <v>401</v>
      </c>
      <c r="J128" s="39" t="s">
        <v>12</v>
      </c>
      <c r="K128" s="41">
        <v>10</v>
      </c>
      <c r="L128" s="42">
        <v>19593.45</v>
      </c>
      <c r="M128" s="42">
        <v>195934.5</v>
      </c>
      <c r="N128" s="42" t="s">
        <v>458</v>
      </c>
    </row>
    <row r="129" spans="1:14">
      <c r="A129" s="50">
        <v>2</v>
      </c>
      <c r="B129" s="51" t="s">
        <v>84</v>
      </c>
      <c r="C129" s="43" t="s">
        <v>72</v>
      </c>
      <c r="D129" s="43"/>
      <c r="E129" s="43">
        <v>3110</v>
      </c>
      <c r="F129" s="40"/>
      <c r="G129" s="122" t="s">
        <v>567</v>
      </c>
      <c r="H129" s="40">
        <v>1112</v>
      </c>
      <c r="I129" s="39" t="s">
        <v>344</v>
      </c>
      <c r="J129" s="39" t="s">
        <v>12</v>
      </c>
      <c r="K129" s="41">
        <v>87</v>
      </c>
      <c r="L129" s="42"/>
      <c r="M129" s="42">
        <v>11741.52</v>
      </c>
      <c r="N129" s="42" t="s">
        <v>458</v>
      </c>
    </row>
    <row r="130" spans="1:14">
      <c r="A130" s="50"/>
      <c r="B130" s="51"/>
      <c r="C130" s="43"/>
      <c r="D130" s="43"/>
      <c r="E130" s="43"/>
      <c r="F130" s="40"/>
      <c r="G130" s="40"/>
      <c r="H130" s="40"/>
      <c r="I130" s="39"/>
      <c r="J130" s="39"/>
      <c r="K130" s="41"/>
      <c r="L130" s="42"/>
      <c r="M130" s="42"/>
      <c r="N130" s="42"/>
    </row>
    <row r="131" spans="1:14">
      <c r="A131" s="50"/>
      <c r="B131" s="51"/>
      <c r="C131" s="43"/>
      <c r="D131" s="43"/>
      <c r="E131" s="43"/>
      <c r="F131" s="40"/>
      <c r="G131" s="40"/>
      <c r="H131" s="40"/>
      <c r="I131" s="39"/>
      <c r="J131" s="39"/>
      <c r="K131" s="41"/>
      <c r="L131" s="42"/>
      <c r="M131" s="42"/>
      <c r="N131" s="42"/>
    </row>
    <row r="132" spans="1:14">
      <c r="A132" s="50"/>
      <c r="B132" s="51"/>
      <c r="C132" s="43"/>
      <c r="D132" s="43"/>
      <c r="E132" s="43"/>
      <c r="F132" s="40"/>
      <c r="G132" s="40"/>
      <c r="H132" s="40"/>
      <c r="I132" s="39"/>
      <c r="J132" s="39"/>
      <c r="K132" s="41"/>
      <c r="L132" s="42"/>
      <c r="M132" s="42"/>
      <c r="N132" s="42"/>
    </row>
    <row r="133" spans="1:14">
      <c r="A133" s="50"/>
      <c r="B133" s="51" t="s">
        <v>84</v>
      </c>
      <c r="C133" s="43"/>
      <c r="D133" s="43"/>
      <c r="E133" s="43"/>
      <c r="F133" s="40"/>
      <c r="G133" s="40"/>
      <c r="H133" s="40"/>
      <c r="I133" s="39"/>
      <c r="J133" s="39"/>
      <c r="K133" s="41"/>
      <c r="L133" s="42"/>
      <c r="M133" s="42"/>
      <c r="N133" s="42" t="s">
        <v>458</v>
      </c>
    </row>
    <row r="134" spans="1:14">
      <c r="A134" s="45"/>
      <c r="B134" s="46"/>
      <c r="C134" s="47"/>
      <c r="D134" s="47"/>
      <c r="E134" s="47"/>
      <c r="F134" s="45"/>
      <c r="G134" s="45"/>
      <c r="H134" s="45"/>
      <c r="I134" s="46" t="s">
        <v>14</v>
      </c>
      <c r="J134" s="46"/>
      <c r="K134" s="48"/>
      <c r="L134" s="49"/>
      <c r="M134" s="49">
        <f>SUM(M128:M133)</f>
        <v>207676.02</v>
      </c>
      <c r="N134" s="46">
        <f>SUM(N128:N133)</f>
        <v>0</v>
      </c>
    </row>
    <row r="135" spans="1:14" ht="45" customHeight="1">
      <c r="A135" s="40">
        <v>1</v>
      </c>
      <c r="B135" s="39" t="s">
        <v>53</v>
      </c>
      <c r="C135" s="43" t="s">
        <v>562</v>
      </c>
      <c r="D135" s="43" t="s">
        <v>563</v>
      </c>
      <c r="E135" s="43">
        <v>2210</v>
      </c>
      <c r="F135" s="40"/>
      <c r="G135" s="122" t="s">
        <v>564</v>
      </c>
      <c r="H135" s="40">
        <v>1113</v>
      </c>
      <c r="I135" s="39" t="s">
        <v>401</v>
      </c>
      <c r="J135" s="39" t="s">
        <v>12</v>
      </c>
      <c r="K135" s="41">
        <v>10</v>
      </c>
      <c r="L135" s="42">
        <v>19593.45</v>
      </c>
      <c r="M135" s="42">
        <v>195934.5</v>
      </c>
      <c r="N135" s="42" t="s">
        <v>458</v>
      </c>
    </row>
    <row r="136" spans="1:14">
      <c r="A136" s="40">
        <v>2</v>
      </c>
      <c r="B136" s="39" t="s">
        <v>53</v>
      </c>
      <c r="C136" s="43" t="s">
        <v>72</v>
      </c>
      <c r="D136" s="43"/>
      <c r="E136" s="43">
        <v>3110</v>
      </c>
      <c r="F136" s="40"/>
      <c r="G136" s="122" t="s">
        <v>567</v>
      </c>
      <c r="H136" s="40">
        <v>1112</v>
      </c>
      <c r="I136" s="39" t="s">
        <v>344</v>
      </c>
      <c r="J136" s="39" t="s">
        <v>12</v>
      </c>
      <c r="K136" s="41">
        <v>44</v>
      </c>
      <c r="L136" s="42"/>
      <c r="M136" s="42">
        <v>5939.56</v>
      </c>
      <c r="N136" s="42" t="s">
        <v>458</v>
      </c>
    </row>
    <row r="137" spans="1:14">
      <c r="A137" s="40">
        <v>3</v>
      </c>
      <c r="B137" s="39" t="s">
        <v>53</v>
      </c>
      <c r="C137" s="43" t="s">
        <v>562</v>
      </c>
      <c r="D137" s="43" t="s">
        <v>461</v>
      </c>
      <c r="E137" s="43">
        <v>2210</v>
      </c>
      <c r="F137" s="40"/>
      <c r="G137" s="122" t="s">
        <v>567</v>
      </c>
      <c r="H137" s="122" t="s">
        <v>572</v>
      </c>
      <c r="I137" s="124" t="s">
        <v>573</v>
      </c>
      <c r="J137" s="39" t="s">
        <v>12</v>
      </c>
      <c r="K137" s="41">
        <v>3</v>
      </c>
      <c r="L137" s="42">
        <v>8.1</v>
      </c>
      <c r="M137" s="42">
        <v>24.3</v>
      </c>
      <c r="N137" s="42" t="s">
        <v>458</v>
      </c>
    </row>
    <row r="138" spans="1:14">
      <c r="A138" s="40">
        <v>4</v>
      </c>
      <c r="B138" s="39" t="s">
        <v>53</v>
      </c>
      <c r="C138" s="43" t="s">
        <v>562</v>
      </c>
      <c r="D138" s="43" t="s">
        <v>461</v>
      </c>
      <c r="E138" s="43">
        <v>2210</v>
      </c>
      <c r="F138" s="40"/>
      <c r="G138" s="122" t="s">
        <v>567</v>
      </c>
      <c r="H138" s="122" t="s">
        <v>572</v>
      </c>
      <c r="I138" s="124" t="s">
        <v>574</v>
      </c>
      <c r="J138" s="39" t="s">
        <v>12</v>
      </c>
      <c r="K138" s="41">
        <v>1</v>
      </c>
      <c r="L138" s="42">
        <v>4.45</v>
      </c>
      <c r="M138" s="42">
        <v>4.45</v>
      </c>
      <c r="N138" s="42" t="s">
        <v>458</v>
      </c>
    </row>
    <row r="139" spans="1:14">
      <c r="A139" s="40">
        <v>5</v>
      </c>
      <c r="B139" s="39" t="s">
        <v>53</v>
      </c>
      <c r="C139" s="43"/>
      <c r="D139" s="43"/>
      <c r="E139" s="43"/>
      <c r="F139" s="40"/>
      <c r="G139" s="40"/>
      <c r="H139" s="40"/>
      <c r="I139" s="43"/>
      <c r="J139" s="51"/>
      <c r="K139" s="41"/>
      <c r="L139" s="42"/>
      <c r="M139" s="42"/>
      <c r="N139" s="42" t="s">
        <v>458</v>
      </c>
    </row>
    <row r="140" spans="1:14">
      <c r="A140" s="40">
        <v>6</v>
      </c>
      <c r="B140" s="39" t="s">
        <v>53</v>
      </c>
      <c r="C140" s="43"/>
      <c r="D140" s="43"/>
      <c r="E140" s="43"/>
      <c r="F140" s="40"/>
      <c r="G140" s="40"/>
      <c r="H140" s="40"/>
      <c r="I140" s="43"/>
      <c r="J140" s="51"/>
      <c r="K140" s="41"/>
      <c r="L140" s="42"/>
      <c r="M140" s="42"/>
      <c r="N140" s="42" t="s">
        <v>458</v>
      </c>
    </row>
    <row r="141" spans="1:14">
      <c r="A141" s="40">
        <v>7</v>
      </c>
      <c r="B141" s="39" t="s">
        <v>53</v>
      </c>
      <c r="C141" s="43"/>
      <c r="D141" s="43"/>
      <c r="E141" s="43"/>
      <c r="F141" s="40"/>
      <c r="G141" s="40"/>
      <c r="H141" s="40"/>
      <c r="I141" s="43"/>
      <c r="J141" s="51"/>
      <c r="K141" s="41"/>
      <c r="L141" s="42"/>
      <c r="M141" s="42"/>
      <c r="N141" s="42" t="s">
        <v>458</v>
      </c>
    </row>
    <row r="142" spans="1:14">
      <c r="A142" s="45"/>
      <c r="B142" s="46"/>
      <c r="C142" s="47"/>
      <c r="D142" s="47"/>
      <c r="E142" s="47"/>
      <c r="F142" s="45"/>
      <c r="G142" s="45"/>
      <c r="H142" s="45"/>
      <c r="I142" s="46" t="s">
        <v>14</v>
      </c>
      <c r="J142" s="46"/>
      <c r="K142" s="48"/>
      <c r="L142" s="49"/>
      <c r="M142" s="49">
        <f>SUM(M135:M141)</f>
        <v>201902.81</v>
      </c>
      <c r="N142" s="46">
        <f>SUM(N135:N141)</f>
        <v>0</v>
      </c>
    </row>
    <row r="143" spans="1:14">
      <c r="A143" s="50"/>
      <c r="B143" s="51" t="s">
        <v>548</v>
      </c>
      <c r="C143" s="43" t="s">
        <v>562</v>
      </c>
      <c r="D143" s="43" t="s">
        <v>461</v>
      </c>
      <c r="E143" s="43">
        <v>2210</v>
      </c>
      <c r="F143" s="40"/>
      <c r="G143" s="122" t="s">
        <v>567</v>
      </c>
      <c r="H143" s="122" t="s">
        <v>572</v>
      </c>
      <c r="I143" s="124" t="s">
        <v>573</v>
      </c>
      <c r="J143" s="39" t="s">
        <v>12</v>
      </c>
      <c r="K143" s="41">
        <v>3</v>
      </c>
      <c r="L143" s="42">
        <v>8.1</v>
      </c>
      <c r="M143" s="42">
        <v>24.3</v>
      </c>
      <c r="N143" s="42" t="s">
        <v>458</v>
      </c>
    </row>
    <row r="144" spans="1:14">
      <c r="A144" s="50"/>
      <c r="B144" s="51"/>
      <c r="C144" s="43" t="s">
        <v>562</v>
      </c>
      <c r="D144" s="43" t="s">
        <v>461</v>
      </c>
      <c r="E144" s="43">
        <v>2210</v>
      </c>
      <c r="F144" s="40"/>
      <c r="G144" s="122" t="s">
        <v>567</v>
      </c>
      <c r="H144" s="122" t="s">
        <v>572</v>
      </c>
      <c r="I144" s="124" t="s">
        <v>574</v>
      </c>
      <c r="J144" s="39" t="s">
        <v>12</v>
      </c>
      <c r="K144" s="41">
        <v>1</v>
      </c>
      <c r="L144" s="42">
        <v>4.45</v>
      </c>
      <c r="M144" s="42">
        <v>4.45</v>
      </c>
      <c r="N144" s="42" t="s">
        <v>458</v>
      </c>
    </row>
    <row r="145" spans="1:15">
      <c r="A145" s="50"/>
      <c r="B145" s="51"/>
      <c r="C145" s="43"/>
      <c r="D145" s="43"/>
      <c r="E145" s="43"/>
      <c r="F145" s="40"/>
      <c r="G145" s="40"/>
      <c r="H145" s="40"/>
      <c r="I145" s="39"/>
      <c r="J145" s="39"/>
      <c r="K145" s="41"/>
      <c r="L145" s="42"/>
      <c r="M145" s="42"/>
      <c r="N145" s="42" t="s">
        <v>458</v>
      </c>
    </row>
    <row r="146" spans="1:15">
      <c r="A146" s="45"/>
      <c r="B146" s="46"/>
      <c r="C146" s="47"/>
      <c r="D146" s="47"/>
      <c r="E146" s="47"/>
      <c r="F146" s="45"/>
      <c r="G146" s="45"/>
      <c r="H146" s="45"/>
      <c r="I146" s="46" t="s">
        <v>14</v>
      </c>
      <c r="J146" s="46"/>
      <c r="K146" s="48"/>
      <c r="L146" s="49"/>
      <c r="M146" s="49">
        <f>SUM(M143:M145)</f>
        <v>28.75</v>
      </c>
      <c r="N146" s="46"/>
      <c r="O146" s="44"/>
    </row>
    <row r="147" spans="1:15" ht="46.5" customHeight="1">
      <c r="A147" s="50"/>
      <c r="B147" s="51" t="s">
        <v>54</v>
      </c>
      <c r="C147" s="43" t="s">
        <v>562</v>
      </c>
      <c r="D147" s="43" t="s">
        <v>563</v>
      </c>
      <c r="E147" s="43">
        <v>2210</v>
      </c>
      <c r="F147" s="40"/>
      <c r="G147" s="122" t="s">
        <v>564</v>
      </c>
      <c r="H147" s="40">
        <v>1113</v>
      </c>
      <c r="I147" s="39" t="s">
        <v>401</v>
      </c>
      <c r="J147" s="39" t="s">
        <v>12</v>
      </c>
      <c r="K147" s="41">
        <v>30</v>
      </c>
      <c r="L147" s="42">
        <v>19593.45</v>
      </c>
      <c r="M147" s="42">
        <v>587803.5</v>
      </c>
      <c r="N147" s="46"/>
      <c r="O147" s="44"/>
    </row>
    <row r="148" spans="1:15">
      <c r="A148" s="50"/>
      <c r="B148" s="51"/>
      <c r="C148" s="43" t="s">
        <v>562</v>
      </c>
      <c r="D148" s="43" t="s">
        <v>461</v>
      </c>
      <c r="E148" s="43">
        <v>2210</v>
      </c>
      <c r="F148" s="40"/>
      <c r="G148" s="122" t="s">
        <v>567</v>
      </c>
      <c r="H148" s="122" t="s">
        <v>572</v>
      </c>
      <c r="I148" s="124" t="s">
        <v>573</v>
      </c>
      <c r="J148" s="39" t="s">
        <v>12</v>
      </c>
      <c r="K148" s="41">
        <v>3</v>
      </c>
      <c r="L148" s="42">
        <v>8.1</v>
      </c>
      <c r="M148" s="42">
        <v>24.3</v>
      </c>
      <c r="N148" s="46"/>
      <c r="O148" s="44"/>
    </row>
    <row r="149" spans="1:15">
      <c r="A149" s="50"/>
      <c r="B149" s="51"/>
      <c r="C149" s="43" t="s">
        <v>562</v>
      </c>
      <c r="D149" s="43" t="s">
        <v>461</v>
      </c>
      <c r="E149" s="43">
        <v>2210</v>
      </c>
      <c r="F149" s="40"/>
      <c r="G149" s="122" t="s">
        <v>567</v>
      </c>
      <c r="H149" s="122" t="s">
        <v>572</v>
      </c>
      <c r="I149" s="124" t="s">
        <v>574</v>
      </c>
      <c r="J149" s="39" t="s">
        <v>12</v>
      </c>
      <c r="K149" s="41">
        <v>1</v>
      </c>
      <c r="L149" s="42">
        <v>4.45</v>
      </c>
      <c r="M149" s="42">
        <v>4.45</v>
      </c>
      <c r="N149" s="46"/>
      <c r="O149" s="44"/>
    </row>
    <row r="150" spans="1:15">
      <c r="A150" s="45"/>
      <c r="B150" s="46"/>
      <c r="C150" s="47"/>
      <c r="D150" s="47"/>
      <c r="E150" s="47"/>
      <c r="F150" s="45"/>
      <c r="G150" s="45"/>
      <c r="H150" s="45"/>
      <c r="I150" s="46"/>
      <c r="J150" s="46"/>
      <c r="K150" s="48"/>
      <c r="L150" s="49"/>
      <c r="M150" s="49">
        <f>SUM(M147:M149)</f>
        <v>587832.25</v>
      </c>
      <c r="N150" s="46"/>
      <c r="O150" s="44"/>
    </row>
    <row r="151" spans="1:15">
      <c r="A151" s="180" t="s">
        <v>565</v>
      </c>
      <c r="B151" s="181"/>
      <c r="C151" s="58"/>
      <c r="D151" s="58"/>
      <c r="E151" s="58"/>
      <c r="F151" s="59"/>
      <c r="G151" s="59"/>
      <c r="H151" s="59"/>
      <c r="I151" s="58"/>
      <c r="J151" s="58"/>
      <c r="K151" s="60"/>
      <c r="L151" s="61"/>
      <c r="M151" s="61">
        <f>M146+M142+M134+M127+M122+M116+M110+M104+M95+M89+M84+M78+M72+M65+M61+M54+M47+M41+M26+M21+M16+M11+M7+M150</f>
        <v>7871234.1799999997</v>
      </c>
      <c r="N151" s="58"/>
      <c r="O151" s="44"/>
    </row>
    <row r="152" spans="1:15" ht="47.25" customHeight="1">
      <c r="A152" s="50">
        <v>1</v>
      </c>
      <c r="B152" s="51" t="s">
        <v>113</v>
      </c>
      <c r="C152" s="43" t="s">
        <v>562</v>
      </c>
      <c r="D152" s="43" t="s">
        <v>563</v>
      </c>
      <c r="E152" s="43">
        <v>2210</v>
      </c>
      <c r="F152" s="40"/>
      <c r="G152" s="122" t="s">
        <v>564</v>
      </c>
      <c r="H152" s="40">
        <v>1113</v>
      </c>
      <c r="I152" s="39" t="s">
        <v>401</v>
      </c>
      <c r="J152" s="39" t="s">
        <v>12</v>
      </c>
      <c r="K152" s="41">
        <v>5</v>
      </c>
      <c r="L152" s="42">
        <v>19593.45</v>
      </c>
      <c r="M152" s="42">
        <v>97967.25</v>
      </c>
      <c r="N152" s="42" t="s">
        <v>458</v>
      </c>
    </row>
    <row r="153" spans="1:15">
      <c r="A153" s="50"/>
      <c r="B153" s="51"/>
      <c r="C153" s="43" t="s">
        <v>562</v>
      </c>
      <c r="D153" s="43" t="s">
        <v>461</v>
      </c>
      <c r="E153" s="43">
        <v>2210</v>
      </c>
      <c r="F153" s="40"/>
      <c r="G153" s="122" t="s">
        <v>567</v>
      </c>
      <c r="H153" s="122" t="s">
        <v>572</v>
      </c>
      <c r="I153" s="124" t="s">
        <v>573</v>
      </c>
      <c r="J153" s="39" t="s">
        <v>12</v>
      </c>
      <c r="K153" s="41">
        <v>3</v>
      </c>
      <c r="L153" s="42">
        <v>8.1</v>
      </c>
      <c r="M153" s="42">
        <v>24.3</v>
      </c>
      <c r="N153" s="42"/>
    </row>
    <row r="154" spans="1:15">
      <c r="A154" s="50"/>
      <c r="B154" s="51"/>
      <c r="C154" s="43" t="s">
        <v>562</v>
      </c>
      <c r="D154" s="43" t="s">
        <v>461</v>
      </c>
      <c r="E154" s="43">
        <v>2210</v>
      </c>
      <c r="F154" s="40"/>
      <c r="G154" s="122" t="s">
        <v>567</v>
      </c>
      <c r="H154" s="122" t="s">
        <v>572</v>
      </c>
      <c r="I154" s="124" t="s">
        <v>574</v>
      </c>
      <c r="J154" s="39" t="s">
        <v>12</v>
      </c>
      <c r="K154" s="41">
        <v>1</v>
      </c>
      <c r="L154" s="42">
        <v>4.45</v>
      </c>
      <c r="M154" s="42">
        <v>4.45</v>
      </c>
      <c r="N154" s="42"/>
    </row>
    <row r="155" spans="1:15">
      <c r="A155" s="50"/>
      <c r="B155" s="51"/>
      <c r="C155" s="43"/>
      <c r="D155" s="43"/>
      <c r="E155" s="43"/>
      <c r="F155" s="40"/>
      <c r="G155" s="122"/>
      <c r="H155" s="40"/>
      <c r="I155" s="39"/>
      <c r="J155" s="39"/>
      <c r="K155" s="41"/>
      <c r="L155" s="42"/>
      <c r="M155" s="42"/>
      <c r="N155" s="42"/>
    </row>
    <row r="156" spans="1:15">
      <c r="A156" s="45"/>
      <c r="B156" s="46"/>
      <c r="C156" s="46"/>
      <c r="D156" s="46"/>
      <c r="E156" s="46"/>
      <c r="F156" s="45"/>
      <c r="G156" s="45"/>
      <c r="H156" s="45"/>
      <c r="I156" s="46"/>
      <c r="J156" s="46"/>
      <c r="K156" s="48"/>
      <c r="L156" s="49"/>
      <c r="M156" s="61">
        <f>SUM(M152:N155)</f>
        <v>97996</v>
      </c>
      <c r="N156" s="46">
        <f>SUM(N152:N152)</f>
        <v>0</v>
      </c>
    </row>
    <row r="157" spans="1:15">
      <c r="A157" s="59"/>
      <c r="B157" s="58"/>
      <c r="C157" s="58" t="s">
        <v>307</v>
      </c>
      <c r="D157" s="58"/>
      <c r="E157" s="58"/>
      <c r="F157" s="59"/>
      <c r="G157" s="59"/>
      <c r="H157" s="59"/>
      <c r="I157" s="58"/>
      <c r="J157" s="58"/>
      <c r="K157" s="60"/>
      <c r="L157" s="61"/>
      <c r="M157" s="63">
        <f>M156+M151</f>
        <v>7969230.1799999997</v>
      </c>
      <c r="N157" s="58"/>
    </row>
    <row r="159" spans="1:15">
      <c r="B159" s="38" t="s">
        <v>77</v>
      </c>
    </row>
  </sheetData>
  <mergeCells count="2">
    <mergeCell ref="A1:N1"/>
    <mergeCell ref="A151:B15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90"/>
  <sheetViews>
    <sheetView topLeftCell="A40" workbookViewId="0">
      <selection activeCell="G71" sqref="G71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23.42578125" style="38" customWidth="1"/>
    <col min="5" max="5" width="14.28515625" style="38" customWidth="1"/>
    <col min="6" max="6" width="9.140625" style="62"/>
    <col min="7" max="7" width="21.42578125" style="38" customWidth="1"/>
    <col min="8" max="8" width="37.140625" style="38" customWidth="1"/>
    <col min="9" max="9" width="9.140625" style="64" customWidth="1"/>
    <col min="10" max="10" width="14.7109375" style="44" customWidth="1"/>
    <col min="11" max="11" width="16.42578125" style="44" customWidth="1"/>
    <col min="12" max="12" width="22.85546875" style="38" customWidth="1"/>
    <col min="13" max="13" width="20.7109375" style="38" customWidth="1"/>
    <col min="14" max="16384" width="9.140625" style="38"/>
  </cols>
  <sheetData>
    <row r="1" spans="1:12" ht="18.75">
      <c r="A1" s="179" t="s">
        <v>603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47.25">
      <c r="A2" s="125" t="s">
        <v>0</v>
      </c>
      <c r="B2" s="126" t="s">
        <v>1</v>
      </c>
      <c r="C2" s="126" t="s">
        <v>2</v>
      </c>
      <c r="D2" s="126" t="s">
        <v>456</v>
      </c>
      <c r="E2" s="126" t="s">
        <v>412</v>
      </c>
      <c r="F2" s="126" t="s">
        <v>66</v>
      </c>
      <c r="G2" s="126" t="s">
        <v>4</v>
      </c>
      <c r="H2" s="126" t="s">
        <v>5</v>
      </c>
      <c r="I2" s="125" t="s">
        <v>6</v>
      </c>
      <c r="J2" s="127" t="s">
        <v>7</v>
      </c>
      <c r="K2" s="128" t="s">
        <v>8</v>
      </c>
      <c r="L2" s="128" t="s">
        <v>9</v>
      </c>
    </row>
    <row r="3" spans="1:12">
      <c r="A3" s="40">
        <v>1</v>
      </c>
      <c r="B3" s="39" t="s">
        <v>476</v>
      </c>
      <c r="C3" s="43"/>
      <c r="D3" s="43"/>
      <c r="E3" s="43"/>
      <c r="F3" s="40"/>
      <c r="G3" s="39"/>
      <c r="H3" s="39"/>
      <c r="I3" s="41"/>
      <c r="J3" s="42"/>
      <c r="K3" s="42"/>
      <c r="L3" s="42"/>
    </row>
    <row r="4" spans="1:12">
      <c r="A4" s="45"/>
      <c r="B4" s="46"/>
      <c r="C4" s="47"/>
      <c r="D4" s="47"/>
      <c r="E4" s="47"/>
      <c r="F4" s="45"/>
      <c r="G4" s="46" t="s">
        <v>14</v>
      </c>
      <c r="H4" s="46"/>
      <c r="I4" s="48"/>
      <c r="J4" s="49"/>
      <c r="K4" s="49">
        <f>SUM(K3:K3)</f>
        <v>0</v>
      </c>
      <c r="L4" s="49">
        <f>SUM(L3:L3)</f>
        <v>0</v>
      </c>
    </row>
    <row r="5" spans="1:12">
      <c r="A5" s="50">
        <v>1</v>
      </c>
      <c r="B5" s="51" t="s">
        <v>85</v>
      </c>
      <c r="C5" s="43" t="s">
        <v>562</v>
      </c>
      <c r="D5" s="43" t="s">
        <v>461</v>
      </c>
      <c r="E5" s="43">
        <v>2210</v>
      </c>
      <c r="F5" s="122" t="s">
        <v>597</v>
      </c>
      <c r="G5" s="122" t="s">
        <v>572</v>
      </c>
      <c r="H5" s="124" t="s">
        <v>573</v>
      </c>
      <c r="I5" s="39" t="s">
        <v>12</v>
      </c>
      <c r="J5" s="41">
        <v>3</v>
      </c>
      <c r="K5" s="42">
        <v>8.1</v>
      </c>
      <c r="L5" s="42">
        <v>24.3</v>
      </c>
    </row>
    <row r="6" spans="1:12">
      <c r="A6" s="50"/>
      <c r="B6" s="51"/>
      <c r="C6" s="43" t="s">
        <v>562</v>
      </c>
      <c r="D6" s="43" t="s">
        <v>461</v>
      </c>
      <c r="E6" s="43">
        <v>2210</v>
      </c>
      <c r="F6" s="122" t="s">
        <v>597</v>
      </c>
      <c r="G6" s="122" t="s">
        <v>572</v>
      </c>
      <c r="H6" s="124" t="s">
        <v>574</v>
      </c>
      <c r="I6" s="39" t="s">
        <v>12</v>
      </c>
      <c r="J6" s="41">
        <v>1</v>
      </c>
      <c r="K6" s="42">
        <v>4.45</v>
      </c>
      <c r="L6" s="42">
        <v>4.45</v>
      </c>
    </row>
    <row r="7" spans="1:12">
      <c r="A7" s="50"/>
      <c r="B7" s="51"/>
      <c r="C7" s="43"/>
      <c r="D7" s="43"/>
      <c r="E7" s="43"/>
      <c r="F7" s="40"/>
      <c r="G7" s="39"/>
      <c r="H7" s="39"/>
      <c r="I7" s="41"/>
      <c r="J7" s="42"/>
      <c r="K7" s="42"/>
      <c r="L7" s="42"/>
    </row>
    <row r="8" spans="1:12">
      <c r="A8" s="45"/>
      <c r="B8" s="46"/>
      <c r="C8" s="47"/>
      <c r="D8" s="47"/>
      <c r="E8" s="47"/>
      <c r="F8" s="45"/>
      <c r="G8" s="46" t="s">
        <v>14</v>
      </c>
      <c r="H8" s="46"/>
      <c r="I8" s="48"/>
      <c r="J8" s="49"/>
      <c r="K8" s="49"/>
      <c r="L8" s="49">
        <f>SUM(L5:L7)</f>
        <v>28.75</v>
      </c>
    </row>
    <row r="9" spans="1:12">
      <c r="A9" s="93"/>
      <c r="B9" s="94"/>
      <c r="C9" s="95" t="s">
        <v>477</v>
      </c>
      <c r="D9" s="95"/>
      <c r="E9" s="95"/>
      <c r="F9" s="93"/>
      <c r="G9" s="94"/>
      <c r="H9" s="94"/>
      <c r="I9" s="96"/>
      <c r="J9" s="97"/>
      <c r="K9" s="97"/>
      <c r="L9" s="129">
        <f>L8+L4</f>
        <v>28.75</v>
      </c>
    </row>
    <row r="10" spans="1:12" ht="44.25" customHeight="1">
      <c r="A10" s="40">
        <v>1</v>
      </c>
      <c r="B10" s="51" t="s">
        <v>490</v>
      </c>
      <c r="C10" s="43" t="s">
        <v>562</v>
      </c>
      <c r="D10" s="43" t="s">
        <v>461</v>
      </c>
      <c r="E10" s="43">
        <v>2210</v>
      </c>
      <c r="F10" s="122" t="s">
        <v>598</v>
      </c>
      <c r="G10" s="122" t="s">
        <v>572</v>
      </c>
      <c r="H10" s="124" t="s">
        <v>573</v>
      </c>
      <c r="I10" s="39" t="s">
        <v>12</v>
      </c>
      <c r="J10" s="41">
        <v>3</v>
      </c>
      <c r="K10" s="42">
        <v>8.1</v>
      </c>
      <c r="L10" s="42">
        <v>24.3</v>
      </c>
    </row>
    <row r="11" spans="1:12">
      <c r="A11" s="45"/>
      <c r="B11" s="46"/>
      <c r="C11" s="47" t="s">
        <v>588</v>
      </c>
      <c r="D11" s="47"/>
      <c r="E11" s="47"/>
      <c r="F11" s="45"/>
      <c r="G11" s="46" t="s">
        <v>14</v>
      </c>
      <c r="H11" s="46"/>
      <c r="I11" s="48"/>
      <c r="J11" s="49"/>
      <c r="K11" s="49"/>
      <c r="L11" s="49">
        <f>SUM(L10:L10)</f>
        <v>24.3</v>
      </c>
    </row>
    <row r="12" spans="1:12">
      <c r="A12" s="45">
        <v>1</v>
      </c>
      <c r="B12" s="51" t="s">
        <v>492</v>
      </c>
      <c r="C12" s="43" t="s">
        <v>562</v>
      </c>
      <c r="D12" s="43" t="s">
        <v>461</v>
      </c>
      <c r="E12" s="43">
        <v>2210</v>
      </c>
      <c r="F12" s="122" t="s">
        <v>598</v>
      </c>
      <c r="G12" s="122" t="s">
        <v>572</v>
      </c>
      <c r="H12" s="124" t="s">
        <v>573</v>
      </c>
      <c r="I12" s="39" t="s">
        <v>12</v>
      </c>
      <c r="J12" s="41">
        <v>3</v>
      </c>
      <c r="K12" s="42">
        <v>8.1</v>
      </c>
      <c r="L12" s="42">
        <v>24.3</v>
      </c>
    </row>
    <row r="13" spans="1:12">
      <c r="A13" s="45">
        <v>2</v>
      </c>
      <c r="B13" s="51" t="s">
        <v>492</v>
      </c>
      <c r="C13" s="43" t="s">
        <v>562</v>
      </c>
      <c r="D13" s="43" t="s">
        <v>461</v>
      </c>
      <c r="E13" s="43">
        <v>2210</v>
      </c>
      <c r="F13" s="122" t="s">
        <v>598</v>
      </c>
      <c r="G13" s="122" t="s">
        <v>572</v>
      </c>
      <c r="H13" s="124" t="s">
        <v>574</v>
      </c>
      <c r="I13" s="39" t="s">
        <v>12</v>
      </c>
      <c r="J13" s="41">
        <v>1</v>
      </c>
      <c r="K13" s="42">
        <v>4.45</v>
      </c>
      <c r="L13" s="42">
        <v>4.45</v>
      </c>
    </row>
    <row r="14" spans="1:12">
      <c r="A14" s="45">
        <v>3</v>
      </c>
      <c r="B14" s="46"/>
      <c r="C14" s="47" t="s">
        <v>588</v>
      </c>
      <c r="D14" s="47"/>
      <c r="E14" s="47"/>
      <c r="F14" s="45"/>
      <c r="G14" s="46"/>
      <c r="H14" s="46"/>
      <c r="I14" s="48"/>
      <c r="J14" s="49"/>
      <c r="K14" s="49"/>
      <c r="L14" s="49">
        <f>SUM(L12:L13)</f>
        <v>28.75</v>
      </c>
    </row>
    <row r="15" spans="1:12">
      <c r="A15" s="45">
        <v>4</v>
      </c>
      <c r="B15" s="51" t="s">
        <v>15</v>
      </c>
      <c r="C15" s="43" t="s">
        <v>562</v>
      </c>
      <c r="D15" s="43" t="s">
        <v>461</v>
      </c>
      <c r="E15" s="43">
        <v>2210</v>
      </c>
      <c r="F15" s="122" t="s">
        <v>598</v>
      </c>
      <c r="G15" s="122" t="s">
        <v>572</v>
      </c>
      <c r="H15" s="124" t="s">
        <v>573</v>
      </c>
      <c r="I15" s="39" t="s">
        <v>12</v>
      </c>
      <c r="J15" s="41">
        <v>3</v>
      </c>
      <c r="K15" s="42">
        <v>8.1</v>
      </c>
      <c r="L15" s="42">
        <v>24.3</v>
      </c>
    </row>
    <row r="16" spans="1:12">
      <c r="A16" s="45">
        <v>6</v>
      </c>
      <c r="B16" s="46"/>
      <c r="C16" s="47" t="s">
        <v>588</v>
      </c>
      <c r="D16" s="47"/>
      <c r="E16" s="47"/>
      <c r="F16" s="45"/>
      <c r="G16" s="47"/>
      <c r="H16" s="46"/>
      <c r="I16" s="48"/>
      <c r="J16" s="49"/>
      <c r="K16" s="49"/>
      <c r="L16" s="49">
        <f>SUM(L15)</f>
        <v>24.3</v>
      </c>
    </row>
    <row r="17" spans="1:12">
      <c r="A17" s="45">
        <v>7</v>
      </c>
      <c r="B17" s="51" t="s">
        <v>17</v>
      </c>
      <c r="C17" s="43" t="s">
        <v>562</v>
      </c>
      <c r="D17" s="43" t="s">
        <v>461</v>
      </c>
      <c r="E17" s="43">
        <v>2210</v>
      </c>
      <c r="F17" s="122" t="s">
        <v>598</v>
      </c>
      <c r="G17" s="122" t="s">
        <v>572</v>
      </c>
      <c r="H17" s="124" t="s">
        <v>573</v>
      </c>
      <c r="I17" s="39" t="s">
        <v>12</v>
      </c>
      <c r="J17" s="41">
        <v>3</v>
      </c>
      <c r="K17" s="42">
        <v>8.1</v>
      </c>
      <c r="L17" s="42">
        <v>24.3</v>
      </c>
    </row>
    <row r="18" spans="1:12">
      <c r="A18" s="45"/>
      <c r="B18" s="46"/>
      <c r="C18" s="47" t="s">
        <v>588</v>
      </c>
      <c r="D18" s="47"/>
      <c r="E18" s="47"/>
      <c r="F18" s="45"/>
      <c r="G18" s="46"/>
      <c r="H18" s="46"/>
      <c r="I18" s="48"/>
      <c r="J18" s="49"/>
      <c r="K18" s="49"/>
      <c r="L18" s="49">
        <f>SUM(L17)</f>
        <v>24.3</v>
      </c>
    </row>
    <row r="19" spans="1:12">
      <c r="A19" s="98"/>
      <c r="B19" s="99"/>
      <c r="C19" s="100" t="s">
        <v>491</v>
      </c>
      <c r="D19" s="100"/>
      <c r="E19" s="100"/>
      <c r="F19" s="98"/>
      <c r="G19" s="99"/>
      <c r="H19" s="99"/>
      <c r="I19" s="101"/>
      <c r="J19" s="102"/>
      <c r="K19" s="102"/>
      <c r="L19" s="129">
        <f>L18+L16+L14+L11</f>
        <v>101.64999999999999</v>
      </c>
    </row>
    <row r="20" spans="1:12">
      <c r="A20" s="40">
        <v>1</v>
      </c>
      <c r="B20" s="39" t="s">
        <v>493</v>
      </c>
      <c r="C20" s="43" t="s">
        <v>562</v>
      </c>
      <c r="D20" s="43" t="s">
        <v>461</v>
      </c>
      <c r="E20" s="43">
        <v>2210</v>
      </c>
      <c r="F20" s="122" t="s">
        <v>599</v>
      </c>
      <c r="G20" s="122" t="s">
        <v>572</v>
      </c>
      <c r="H20" s="124" t="s">
        <v>573</v>
      </c>
      <c r="I20" s="39" t="s">
        <v>12</v>
      </c>
      <c r="J20" s="41">
        <v>3</v>
      </c>
      <c r="K20" s="42">
        <v>8.1</v>
      </c>
      <c r="L20" s="42">
        <v>24.3</v>
      </c>
    </row>
    <row r="21" spans="1:12">
      <c r="A21" s="45"/>
      <c r="B21" s="46"/>
      <c r="C21" s="47"/>
      <c r="D21" s="47"/>
      <c r="E21" s="47"/>
      <c r="F21" s="45"/>
      <c r="G21" s="46" t="s">
        <v>14</v>
      </c>
      <c r="H21" s="46"/>
      <c r="I21" s="48"/>
      <c r="J21" s="49"/>
      <c r="K21" s="49"/>
      <c r="L21" s="49">
        <f>SUM(L20)</f>
        <v>24.3</v>
      </c>
    </row>
    <row r="22" spans="1:12">
      <c r="A22" s="50"/>
      <c r="B22" s="51" t="s">
        <v>525</v>
      </c>
      <c r="C22" s="43" t="s">
        <v>562</v>
      </c>
      <c r="D22" s="43" t="s">
        <v>461</v>
      </c>
      <c r="E22" s="43">
        <v>2210</v>
      </c>
      <c r="F22" s="122" t="s">
        <v>599</v>
      </c>
      <c r="G22" s="122" t="s">
        <v>572</v>
      </c>
      <c r="H22" s="124" t="s">
        <v>573</v>
      </c>
      <c r="I22" s="39" t="s">
        <v>12</v>
      </c>
      <c r="J22" s="41">
        <v>3</v>
      </c>
      <c r="K22" s="42">
        <v>8.1</v>
      </c>
      <c r="L22" s="42">
        <v>24.3</v>
      </c>
    </row>
    <row r="23" spans="1:12">
      <c r="A23" s="45"/>
      <c r="B23" s="46"/>
      <c r="C23" s="47"/>
      <c r="D23" s="47"/>
      <c r="E23" s="47"/>
      <c r="F23" s="45"/>
      <c r="G23" s="46" t="s">
        <v>14</v>
      </c>
      <c r="H23" s="46"/>
      <c r="I23" s="48"/>
      <c r="J23" s="49"/>
      <c r="K23" s="49"/>
      <c r="L23" s="49">
        <f>SUM(L22)</f>
        <v>24.3</v>
      </c>
    </row>
    <row r="24" spans="1:12">
      <c r="A24" s="50"/>
      <c r="B24" s="51" t="s">
        <v>589</v>
      </c>
      <c r="C24" s="43" t="s">
        <v>562</v>
      </c>
      <c r="D24" s="43" t="s">
        <v>461</v>
      </c>
      <c r="E24" s="43">
        <v>2210</v>
      </c>
      <c r="F24" s="122" t="s">
        <v>599</v>
      </c>
      <c r="G24" s="122" t="s">
        <v>572</v>
      </c>
      <c r="H24" s="124" t="s">
        <v>573</v>
      </c>
      <c r="I24" s="39" t="s">
        <v>12</v>
      </c>
      <c r="J24" s="41">
        <v>3</v>
      </c>
      <c r="K24" s="42">
        <v>8.1</v>
      </c>
      <c r="L24" s="42">
        <v>24.3</v>
      </c>
    </row>
    <row r="25" spans="1:12">
      <c r="A25" s="45"/>
      <c r="B25" s="46"/>
      <c r="C25" s="47"/>
      <c r="D25" s="47"/>
      <c r="E25" s="47"/>
      <c r="F25" s="45"/>
      <c r="G25" s="46" t="s">
        <v>14</v>
      </c>
      <c r="H25" s="46"/>
      <c r="I25" s="48"/>
      <c r="J25" s="49"/>
      <c r="K25" s="49"/>
      <c r="L25" s="49">
        <f>SUM(L24)</f>
        <v>24.3</v>
      </c>
    </row>
    <row r="26" spans="1:12">
      <c r="A26" s="50">
        <v>1</v>
      </c>
      <c r="B26" s="51" t="s">
        <v>345</v>
      </c>
      <c r="C26" s="43" t="s">
        <v>562</v>
      </c>
      <c r="D26" s="43" t="s">
        <v>461</v>
      </c>
      <c r="E26" s="43">
        <v>2210</v>
      </c>
      <c r="F26" s="122" t="s">
        <v>599</v>
      </c>
      <c r="G26" s="122" t="s">
        <v>572</v>
      </c>
      <c r="H26" s="124" t="s">
        <v>573</v>
      </c>
      <c r="I26" s="39" t="s">
        <v>12</v>
      </c>
      <c r="J26" s="41">
        <v>3</v>
      </c>
      <c r="K26" s="42">
        <v>8.1</v>
      </c>
      <c r="L26" s="42">
        <v>24.3</v>
      </c>
    </row>
    <row r="27" spans="1:12">
      <c r="A27" s="45"/>
      <c r="B27" s="46"/>
      <c r="C27" s="47"/>
      <c r="D27" s="47"/>
      <c r="E27" s="47"/>
      <c r="F27" s="45"/>
      <c r="G27" s="46" t="s">
        <v>14</v>
      </c>
      <c r="H27" s="46"/>
      <c r="I27" s="48"/>
      <c r="J27" s="49"/>
      <c r="K27" s="49"/>
      <c r="L27" s="49">
        <f>SUM(L26)</f>
        <v>24.3</v>
      </c>
    </row>
    <row r="28" spans="1:12">
      <c r="A28" s="50">
        <v>1</v>
      </c>
      <c r="B28" s="51" t="s">
        <v>494</v>
      </c>
      <c r="C28" s="43" t="s">
        <v>562</v>
      </c>
      <c r="D28" s="43" t="s">
        <v>461</v>
      </c>
      <c r="E28" s="43">
        <v>2210</v>
      </c>
      <c r="F28" s="122" t="s">
        <v>599</v>
      </c>
      <c r="G28" s="122" t="s">
        <v>572</v>
      </c>
      <c r="H28" s="124" t="s">
        <v>573</v>
      </c>
      <c r="I28" s="39" t="s">
        <v>12</v>
      </c>
      <c r="J28" s="41">
        <v>3</v>
      </c>
      <c r="K28" s="42">
        <v>8.1</v>
      </c>
      <c r="L28" s="42">
        <v>24.3</v>
      </c>
    </row>
    <row r="29" spans="1:12">
      <c r="A29" s="50"/>
      <c r="B29" s="51"/>
      <c r="C29" s="43" t="s">
        <v>562</v>
      </c>
      <c r="D29" s="43" t="s">
        <v>461</v>
      </c>
      <c r="E29" s="43">
        <v>2210</v>
      </c>
      <c r="F29" s="122" t="s">
        <v>599</v>
      </c>
      <c r="G29" s="122" t="s">
        <v>572</v>
      </c>
      <c r="H29" s="124" t="s">
        <v>574</v>
      </c>
      <c r="I29" s="39" t="s">
        <v>12</v>
      </c>
      <c r="J29" s="41">
        <v>1</v>
      </c>
      <c r="K29" s="42">
        <v>4.45</v>
      </c>
      <c r="L29" s="42">
        <v>4.45</v>
      </c>
    </row>
    <row r="30" spans="1:12">
      <c r="A30" s="45"/>
      <c r="B30" s="46"/>
      <c r="C30" s="47"/>
      <c r="D30" s="47"/>
      <c r="E30" s="47"/>
      <c r="F30" s="45"/>
      <c r="G30" s="46" t="s">
        <v>14</v>
      </c>
      <c r="H30" s="46"/>
      <c r="I30" s="48"/>
      <c r="J30" s="49"/>
      <c r="K30" s="49"/>
      <c r="L30" s="49">
        <f>SUM(L28:L29)</f>
        <v>28.75</v>
      </c>
    </row>
    <row r="31" spans="1:12">
      <c r="A31" s="50">
        <v>1</v>
      </c>
      <c r="B31" s="51" t="s">
        <v>495</v>
      </c>
      <c r="C31" s="43" t="s">
        <v>562</v>
      </c>
      <c r="D31" s="43" t="s">
        <v>461</v>
      </c>
      <c r="E31" s="43">
        <v>2210</v>
      </c>
      <c r="F31" s="122" t="s">
        <v>599</v>
      </c>
      <c r="G31" s="122" t="s">
        <v>572</v>
      </c>
      <c r="H31" s="124" t="s">
        <v>573</v>
      </c>
      <c r="I31" s="39" t="s">
        <v>12</v>
      </c>
      <c r="J31" s="41">
        <v>3</v>
      </c>
      <c r="K31" s="42">
        <v>8.1</v>
      </c>
      <c r="L31" s="42">
        <v>24.3</v>
      </c>
    </row>
    <row r="32" spans="1:12">
      <c r="A32" s="45"/>
      <c r="B32" s="46"/>
      <c r="C32" s="47"/>
      <c r="D32" s="47"/>
      <c r="E32" s="47"/>
      <c r="F32" s="45"/>
      <c r="G32" s="46" t="s">
        <v>14</v>
      </c>
      <c r="H32" s="46"/>
      <c r="I32" s="48"/>
      <c r="J32" s="49"/>
      <c r="K32" s="49"/>
      <c r="L32" s="46">
        <f>SUM(L31:L31)</f>
        <v>24.3</v>
      </c>
    </row>
    <row r="33" spans="1:12">
      <c r="A33" s="40">
        <v>1</v>
      </c>
      <c r="B33" s="39" t="s">
        <v>496</v>
      </c>
      <c r="C33" s="43" t="s">
        <v>562</v>
      </c>
      <c r="D33" s="43" t="s">
        <v>461</v>
      </c>
      <c r="E33" s="43">
        <v>2210</v>
      </c>
      <c r="F33" s="122" t="s">
        <v>599</v>
      </c>
      <c r="G33" s="122" t="s">
        <v>572</v>
      </c>
      <c r="H33" s="124" t="s">
        <v>573</v>
      </c>
      <c r="I33" s="39" t="s">
        <v>12</v>
      </c>
      <c r="J33" s="41">
        <v>3</v>
      </c>
      <c r="K33" s="42">
        <v>8.1</v>
      </c>
      <c r="L33" s="42">
        <v>24.3</v>
      </c>
    </row>
    <row r="34" spans="1:12">
      <c r="A34" s="45"/>
      <c r="B34" s="46"/>
      <c r="C34" s="47"/>
      <c r="D34" s="47"/>
      <c r="E34" s="47"/>
      <c r="F34" s="45"/>
      <c r="G34" s="46" t="s">
        <v>14</v>
      </c>
      <c r="H34" s="46"/>
      <c r="I34" s="48"/>
      <c r="J34" s="49"/>
      <c r="K34" s="49"/>
      <c r="L34" s="46">
        <f>SUM(L33:L33)</f>
        <v>24.3</v>
      </c>
    </row>
    <row r="35" spans="1:12">
      <c r="A35" s="50"/>
      <c r="B35" s="51" t="s">
        <v>590</v>
      </c>
      <c r="C35" s="43" t="s">
        <v>562</v>
      </c>
      <c r="D35" s="43" t="s">
        <v>461</v>
      </c>
      <c r="E35" s="43">
        <v>2210</v>
      </c>
      <c r="F35" s="122" t="s">
        <v>599</v>
      </c>
      <c r="G35" s="122" t="s">
        <v>572</v>
      </c>
      <c r="H35" s="124" t="s">
        <v>573</v>
      </c>
      <c r="I35" s="39" t="s">
        <v>12</v>
      </c>
      <c r="J35" s="41">
        <v>3</v>
      </c>
      <c r="K35" s="42">
        <v>8.1</v>
      </c>
      <c r="L35" s="42">
        <v>24.3</v>
      </c>
    </row>
    <row r="36" spans="1:12">
      <c r="A36" s="45"/>
      <c r="B36" s="46"/>
      <c r="C36" s="47"/>
      <c r="D36" s="47"/>
      <c r="E36" s="47"/>
      <c r="F36" s="45"/>
      <c r="G36" s="46" t="s">
        <v>14</v>
      </c>
      <c r="H36" s="46"/>
      <c r="I36" s="48"/>
      <c r="J36" s="49"/>
      <c r="K36" s="49"/>
      <c r="L36" s="49">
        <f>SUM(L35)</f>
        <v>24.3</v>
      </c>
    </row>
    <row r="37" spans="1:12">
      <c r="A37" s="50">
        <v>1</v>
      </c>
      <c r="B37" s="51" t="s">
        <v>497</v>
      </c>
      <c r="C37" s="43" t="s">
        <v>562</v>
      </c>
      <c r="D37" s="43" t="s">
        <v>461</v>
      </c>
      <c r="E37" s="43">
        <v>2210</v>
      </c>
      <c r="F37" s="122" t="s">
        <v>599</v>
      </c>
      <c r="G37" s="122" t="s">
        <v>572</v>
      </c>
      <c r="H37" s="124" t="s">
        <v>573</v>
      </c>
      <c r="I37" s="39" t="s">
        <v>12</v>
      </c>
      <c r="J37" s="41">
        <v>3</v>
      </c>
      <c r="K37" s="42">
        <v>8.1</v>
      </c>
      <c r="L37" s="42">
        <v>24.3</v>
      </c>
    </row>
    <row r="38" spans="1:12">
      <c r="A38" s="45"/>
      <c r="B38" s="46"/>
      <c r="C38" s="47"/>
      <c r="D38" s="47"/>
      <c r="E38" s="47"/>
      <c r="F38" s="45"/>
      <c r="G38" s="46" t="s">
        <v>14</v>
      </c>
      <c r="H38" s="46"/>
      <c r="I38" s="48"/>
      <c r="J38" s="49"/>
      <c r="K38" s="49"/>
      <c r="L38" s="49">
        <f>SUM(L37)</f>
        <v>24.3</v>
      </c>
    </row>
    <row r="39" spans="1:12">
      <c r="A39" s="50"/>
      <c r="B39" s="51" t="s">
        <v>591</v>
      </c>
      <c r="C39" s="43" t="s">
        <v>562</v>
      </c>
      <c r="D39" s="43" t="s">
        <v>461</v>
      </c>
      <c r="E39" s="43">
        <v>2210</v>
      </c>
      <c r="F39" s="122" t="s">
        <v>599</v>
      </c>
      <c r="G39" s="122" t="s">
        <v>572</v>
      </c>
      <c r="H39" s="124" t="s">
        <v>573</v>
      </c>
      <c r="I39" s="39" t="s">
        <v>12</v>
      </c>
      <c r="J39" s="41">
        <v>3</v>
      </c>
      <c r="K39" s="42">
        <v>8.1</v>
      </c>
      <c r="L39" s="42">
        <v>24.3</v>
      </c>
    </row>
    <row r="40" spans="1:12">
      <c r="A40" s="45"/>
      <c r="B40" s="46"/>
      <c r="C40" s="47"/>
      <c r="D40" s="47"/>
      <c r="E40" s="47"/>
      <c r="F40" s="45"/>
      <c r="G40" s="46" t="s">
        <v>14</v>
      </c>
      <c r="H40" s="46"/>
      <c r="I40" s="48"/>
      <c r="J40" s="49"/>
      <c r="K40" s="49"/>
      <c r="L40" s="49">
        <f>SUM(L39)</f>
        <v>24.3</v>
      </c>
    </row>
    <row r="41" spans="1:12">
      <c r="A41" s="50">
        <v>1</v>
      </c>
      <c r="B41" s="51" t="s">
        <v>498</v>
      </c>
      <c r="C41" s="43" t="s">
        <v>562</v>
      </c>
      <c r="D41" s="43" t="s">
        <v>461</v>
      </c>
      <c r="E41" s="43">
        <v>2210</v>
      </c>
      <c r="F41" s="122" t="s">
        <v>599</v>
      </c>
      <c r="G41" s="122" t="s">
        <v>572</v>
      </c>
      <c r="H41" s="124" t="s">
        <v>573</v>
      </c>
      <c r="I41" s="39" t="s">
        <v>12</v>
      </c>
      <c r="J41" s="41">
        <v>3</v>
      </c>
      <c r="K41" s="42">
        <v>8.1</v>
      </c>
      <c r="L41" s="42">
        <v>24.3</v>
      </c>
    </row>
    <row r="42" spans="1:12">
      <c r="A42" s="50"/>
      <c r="B42" s="51" t="s">
        <v>498</v>
      </c>
      <c r="C42" s="43" t="s">
        <v>461</v>
      </c>
      <c r="D42" s="43" t="s">
        <v>461</v>
      </c>
      <c r="E42" s="43">
        <v>2210</v>
      </c>
      <c r="F42" s="122" t="s">
        <v>599</v>
      </c>
      <c r="G42" s="40">
        <v>1113</v>
      </c>
      <c r="H42" s="39" t="s">
        <v>600</v>
      </c>
      <c r="I42" s="135" t="s">
        <v>12</v>
      </c>
      <c r="J42" s="41">
        <v>2</v>
      </c>
      <c r="K42" s="42">
        <v>13538.71</v>
      </c>
      <c r="L42" s="42">
        <v>27077.42</v>
      </c>
    </row>
    <row r="43" spans="1:12">
      <c r="A43" s="50"/>
      <c r="B43" s="51" t="s">
        <v>498</v>
      </c>
      <c r="C43" s="187" t="s">
        <v>461</v>
      </c>
      <c r="D43" s="213" t="s">
        <v>461</v>
      </c>
      <c r="E43" s="215">
        <v>2210</v>
      </c>
      <c r="F43" s="196" t="s">
        <v>599</v>
      </c>
      <c r="G43" s="137">
        <v>1113</v>
      </c>
      <c r="H43" s="211" t="s">
        <v>601</v>
      </c>
      <c r="I43" s="217" t="s">
        <v>12</v>
      </c>
      <c r="J43" s="217">
        <v>2</v>
      </c>
      <c r="K43" s="219">
        <v>2996.4</v>
      </c>
      <c r="L43" s="42">
        <v>5412.8</v>
      </c>
    </row>
    <row r="44" spans="1:12">
      <c r="A44" s="50"/>
      <c r="B44" s="51" t="s">
        <v>498</v>
      </c>
      <c r="C44" s="188"/>
      <c r="D44" s="214"/>
      <c r="E44" s="216"/>
      <c r="F44" s="198"/>
      <c r="G44" s="137" t="s">
        <v>11</v>
      </c>
      <c r="H44" s="212"/>
      <c r="I44" s="218"/>
      <c r="J44" s="218"/>
      <c r="K44" s="220"/>
      <c r="L44" s="42">
        <v>580</v>
      </c>
    </row>
    <row r="45" spans="1:12">
      <c r="A45" s="45"/>
      <c r="B45" s="46"/>
      <c r="C45" s="47"/>
      <c r="D45" s="47"/>
      <c r="E45" s="47"/>
      <c r="F45" s="45"/>
      <c r="G45" s="46" t="s">
        <v>14</v>
      </c>
      <c r="H45" s="46"/>
      <c r="I45" s="48"/>
      <c r="J45" s="49"/>
      <c r="K45" s="49"/>
      <c r="L45" s="49">
        <f>SUM(L41:L44)</f>
        <v>33094.519999999997</v>
      </c>
    </row>
    <row r="46" spans="1:12">
      <c r="A46" s="50"/>
      <c r="B46" s="51" t="s">
        <v>592</v>
      </c>
      <c r="C46" s="43" t="s">
        <v>562</v>
      </c>
      <c r="D46" s="43" t="s">
        <v>461</v>
      </c>
      <c r="E46" s="43">
        <v>2210</v>
      </c>
      <c r="F46" s="122" t="s">
        <v>599</v>
      </c>
      <c r="G46" s="122" t="s">
        <v>572</v>
      </c>
      <c r="H46" s="124" t="s">
        <v>573</v>
      </c>
      <c r="I46" s="39" t="s">
        <v>12</v>
      </c>
      <c r="J46" s="41">
        <v>3</v>
      </c>
      <c r="K46" s="42">
        <v>8.1</v>
      </c>
      <c r="L46" s="42">
        <v>24.3</v>
      </c>
    </row>
    <row r="47" spans="1:12">
      <c r="A47" s="45"/>
      <c r="B47" s="46"/>
      <c r="C47" s="47"/>
      <c r="D47" s="47"/>
      <c r="E47" s="47"/>
      <c r="F47" s="45"/>
      <c r="G47" s="46" t="s">
        <v>14</v>
      </c>
      <c r="H47" s="46"/>
      <c r="I47" s="48"/>
      <c r="J47" s="49"/>
      <c r="K47" s="49"/>
      <c r="L47" s="49">
        <f>SUM(L46)</f>
        <v>24.3</v>
      </c>
    </row>
    <row r="48" spans="1:12">
      <c r="A48" s="50">
        <v>1</v>
      </c>
      <c r="B48" s="51" t="s">
        <v>499</v>
      </c>
      <c r="C48" s="43" t="s">
        <v>562</v>
      </c>
      <c r="D48" s="43" t="s">
        <v>461</v>
      </c>
      <c r="E48" s="43">
        <v>2210</v>
      </c>
      <c r="F48" s="122" t="s">
        <v>599</v>
      </c>
      <c r="G48" s="122" t="s">
        <v>572</v>
      </c>
      <c r="H48" s="124" t="s">
        <v>573</v>
      </c>
      <c r="I48" s="39" t="s">
        <v>12</v>
      </c>
      <c r="J48" s="41">
        <v>3</v>
      </c>
      <c r="K48" s="42">
        <v>8.1</v>
      </c>
      <c r="L48" s="42">
        <v>24.3</v>
      </c>
    </row>
    <row r="49" spans="1:12">
      <c r="A49" s="45"/>
      <c r="B49" s="46"/>
      <c r="C49" s="47"/>
      <c r="D49" s="47"/>
      <c r="E49" s="47"/>
      <c r="F49" s="45"/>
      <c r="G49" s="46" t="s">
        <v>14</v>
      </c>
      <c r="H49" s="46"/>
      <c r="I49" s="48"/>
      <c r="J49" s="49"/>
      <c r="K49" s="49"/>
      <c r="L49" s="49">
        <f>SUM(L48)</f>
        <v>24.3</v>
      </c>
    </row>
    <row r="50" spans="1:12" s="57" customFormat="1">
      <c r="A50" s="50"/>
      <c r="B50" s="51" t="s">
        <v>593</v>
      </c>
      <c r="C50" s="43" t="s">
        <v>562</v>
      </c>
      <c r="D50" s="43" t="s">
        <v>461</v>
      </c>
      <c r="E50" s="43">
        <v>2210</v>
      </c>
      <c r="F50" s="122" t="s">
        <v>599</v>
      </c>
      <c r="G50" s="122" t="s">
        <v>572</v>
      </c>
      <c r="H50" s="124" t="s">
        <v>573</v>
      </c>
      <c r="I50" s="39" t="s">
        <v>12</v>
      </c>
      <c r="J50" s="41">
        <v>3</v>
      </c>
      <c r="K50" s="42">
        <v>8.1</v>
      </c>
      <c r="L50" s="42">
        <v>24.3</v>
      </c>
    </row>
    <row r="51" spans="1:12">
      <c r="A51" s="45"/>
      <c r="B51" s="46"/>
      <c r="C51" s="47"/>
      <c r="D51" s="47"/>
      <c r="E51" s="47"/>
      <c r="F51" s="45"/>
      <c r="G51" s="46" t="s">
        <v>14</v>
      </c>
      <c r="H51" s="46"/>
      <c r="I51" s="48"/>
      <c r="J51" s="49"/>
      <c r="K51" s="49"/>
      <c r="L51" s="49">
        <f>SUM(L50)</f>
        <v>24.3</v>
      </c>
    </row>
    <row r="52" spans="1:12" s="57" customFormat="1">
      <c r="A52" s="50"/>
      <c r="B52" s="51" t="s">
        <v>347</v>
      </c>
      <c r="C52" s="43" t="s">
        <v>562</v>
      </c>
      <c r="D52" s="43" t="s">
        <v>461</v>
      </c>
      <c r="E52" s="43">
        <v>2210</v>
      </c>
      <c r="F52" s="122" t="s">
        <v>599</v>
      </c>
      <c r="G52" s="122" t="s">
        <v>572</v>
      </c>
      <c r="H52" s="124" t="s">
        <v>573</v>
      </c>
      <c r="I52" s="39" t="s">
        <v>12</v>
      </c>
      <c r="J52" s="41">
        <v>3</v>
      </c>
      <c r="K52" s="42">
        <v>8.1</v>
      </c>
      <c r="L52" s="42">
        <v>24.3</v>
      </c>
    </row>
    <row r="53" spans="1:12" s="57" customFormat="1">
      <c r="A53" s="50"/>
      <c r="B53" s="51" t="s">
        <v>347</v>
      </c>
      <c r="C53" s="43" t="s">
        <v>461</v>
      </c>
      <c r="D53" s="43" t="s">
        <v>461</v>
      </c>
      <c r="E53" s="43">
        <v>2210</v>
      </c>
      <c r="F53" s="122" t="s">
        <v>599</v>
      </c>
      <c r="G53" s="40">
        <v>1113</v>
      </c>
      <c r="H53" s="39" t="s">
        <v>600</v>
      </c>
      <c r="I53" s="135" t="s">
        <v>12</v>
      </c>
      <c r="J53" s="41">
        <v>2</v>
      </c>
      <c r="K53" s="42">
        <v>13538.71</v>
      </c>
      <c r="L53" s="42">
        <v>27077.42</v>
      </c>
    </row>
    <row r="54" spans="1:12" s="57" customFormat="1">
      <c r="A54" s="50"/>
      <c r="B54" s="51" t="s">
        <v>347</v>
      </c>
      <c r="C54" s="199" t="s">
        <v>461</v>
      </c>
      <c r="D54" s="193" t="s">
        <v>461</v>
      </c>
      <c r="E54" s="193">
        <v>2210</v>
      </c>
      <c r="F54" s="196" t="s">
        <v>599</v>
      </c>
      <c r="G54" s="40">
        <v>1113</v>
      </c>
      <c r="H54" s="208" t="s">
        <v>602</v>
      </c>
      <c r="I54" s="205" t="s">
        <v>12</v>
      </c>
      <c r="J54" s="205">
        <v>1</v>
      </c>
      <c r="K54" s="202">
        <v>6914.72</v>
      </c>
      <c r="L54" s="51">
        <v>4809.72</v>
      </c>
    </row>
    <row r="55" spans="1:12" s="57" customFormat="1">
      <c r="A55" s="50"/>
      <c r="B55" s="51" t="s">
        <v>347</v>
      </c>
      <c r="C55" s="200"/>
      <c r="D55" s="194"/>
      <c r="E55" s="194"/>
      <c r="F55" s="197"/>
      <c r="G55" s="50">
        <v>1114</v>
      </c>
      <c r="H55" s="209"/>
      <c r="I55" s="206"/>
      <c r="J55" s="206"/>
      <c r="K55" s="203"/>
      <c r="L55" s="136">
        <v>1900</v>
      </c>
    </row>
    <row r="56" spans="1:12" s="57" customFormat="1">
      <c r="A56" s="50"/>
      <c r="B56" s="51" t="s">
        <v>347</v>
      </c>
      <c r="C56" s="201"/>
      <c r="D56" s="195"/>
      <c r="E56" s="195"/>
      <c r="F56" s="198"/>
      <c r="G56" s="50" t="s">
        <v>11</v>
      </c>
      <c r="H56" s="210"/>
      <c r="I56" s="207"/>
      <c r="J56" s="207"/>
      <c r="K56" s="204"/>
      <c r="L56" s="136">
        <v>205</v>
      </c>
    </row>
    <row r="57" spans="1:12">
      <c r="A57" s="45"/>
      <c r="B57" s="46"/>
      <c r="C57" s="47"/>
      <c r="D57" s="47"/>
      <c r="E57" s="47"/>
      <c r="F57" s="45"/>
      <c r="G57" s="46" t="s">
        <v>14</v>
      </c>
      <c r="H57" s="46"/>
      <c r="I57" s="48"/>
      <c r="J57" s="49"/>
      <c r="K57" s="49"/>
      <c r="L57" s="49">
        <f>SUM(L52:L56)</f>
        <v>34016.44</v>
      </c>
    </row>
    <row r="58" spans="1:12">
      <c r="A58" s="40">
        <v>1</v>
      </c>
      <c r="B58" s="39" t="s">
        <v>500</v>
      </c>
      <c r="C58" s="43" t="s">
        <v>562</v>
      </c>
      <c r="D58" s="43" t="s">
        <v>461</v>
      </c>
      <c r="E58" s="43">
        <v>2210</v>
      </c>
      <c r="F58" s="122" t="s">
        <v>599</v>
      </c>
      <c r="G58" s="122" t="s">
        <v>572</v>
      </c>
      <c r="H58" s="124" t="s">
        <v>573</v>
      </c>
      <c r="I58" s="39" t="s">
        <v>12</v>
      </c>
      <c r="J58" s="41">
        <v>3</v>
      </c>
      <c r="K58" s="42">
        <v>8.1</v>
      </c>
      <c r="L58" s="42">
        <v>24.3</v>
      </c>
    </row>
    <row r="59" spans="1:12">
      <c r="A59" s="40"/>
      <c r="B59" s="39"/>
      <c r="C59" s="43" t="s">
        <v>562</v>
      </c>
      <c r="D59" s="43" t="s">
        <v>461</v>
      </c>
      <c r="E59" s="43">
        <v>2210</v>
      </c>
      <c r="F59" s="122" t="s">
        <v>599</v>
      </c>
      <c r="G59" s="122" t="s">
        <v>572</v>
      </c>
      <c r="H59" s="124" t="s">
        <v>574</v>
      </c>
      <c r="I59" s="39" t="s">
        <v>12</v>
      </c>
      <c r="J59" s="41">
        <v>1</v>
      </c>
      <c r="K59" s="42">
        <v>4.45</v>
      </c>
      <c r="L59" s="42">
        <v>4.45</v>
      </c>
    </row>
    <row r="60" spans="1:12">
      <c r="A60" s="45"/>
      <c r="B60" s="46"/>
      <c r="C60" s="47"/>
      <c r="D60" s="47"/>
      <c r="E60" s="47"/>
      <c r="F60" s="45"/>
      <c r="G60" s="46" t="s">
        <v>14</v>
      </c>
      <c r="H60" s="46"/>
      <c r="I60" s="48"/>
      <c r="J60" s="49"/>
      <c r="K60" s="49"/>
      <c r="L60" s="49">
        <f>SUM(L58:L59)</f>
        <v>28.75</v>
      </c>
    </row>
    <row r="61" spans="1:12">
      <c r="A61" s="50">
        <v>1</v>
      </c>
      <c r="B61" s="51" t="s">
        <v>348</v>
      </c>
      <c r="C61" s="43" t="s">
        <v>562</v>
      </c>
      <c r="D61" s="43" t="s">
        <v>461</v>
      </c>
      <c r="E61" s="43">
        <v>2210</v>
      </c>
      <c r="F61" s="122" t="s">
        <v>599</v>
      </c>
      <c r="G61" s="122" t="s">
        <v>572</v>
      </c>
      <c r="H61" s="124" t="s">
        <v>573</v>
      </c>
      <c r="I61" s="39" t="s">
        <v>12</v>
      </c>
      <c r="J61" s="41">
        <v>3</v>
      </c>
      <c r="K61" s="42">
        <v>8.1</v>
      </c>
      <c r="L61" s="42">
        <v>24.3</v>
      </c>
    </row>
    <row r="62" spans="1:12">
      <c r="A62" s="45"/>
      <c r="B62" s="46"/>
      <c r="C62" s="47"/>
      <c r="D62" s="47"/>
      <c r="E62" s="47"/>
      <c r="F62" s="45"/>
      <c r="G62" s="46" t="s">
        <v>14</v>
      </c>
      <c r="H62" s="46"/>
      <c r="I62" s="48"/>
      <c r="J62" s="49"/>
      <c r="K62" s="49"/>
      <c r="L62" s="49">
        <f>SUM(L61)</f>
        <v>24.3</v>
      </c>
    </row>
    <row r="63" spans="1:12">
      <c r="A63" s="40">
        <v>1</v>
      </c>
      <c r="B63" s="39" t="s">
        <v>170</v>
      </c>
      <c r="C63" s="43" t="s">
        <v>562</v>
      </c>
      <c r="D63" s="43" t="s">
        <v>461</v>
      </c>
      <c r="E63" s="43">
        <v>2210</v>
      </c>
      <c r="F63" s="122" t="s">
        <v>599</v>
      </c>
      <c r="G63" s="122" t="s">
        <v>572</v>
      </c>
      <c r="H63" s="124" t="s">
        <v>573</v>
      </c>
      <c r="I63" s="39" t="s">
        <v>12</v>
      </c>
      <c r="J63" s="41">
        <v>3</v>
      </c>
      <c r="K63" s="42">
        <v>8.1</v>
      </c>
      <c r="L63" s="42">
        <v>24.3</v>
      </c>
    </row>
    <row r="64" spans="1:12">
      <c r="A64" s="45"/>
      <c r="B64" s="46"/>
      <c r="C64" s="47"/>
      <c r="D64" s="47"/>
      <c r="E64" s="47"/>
      <c r="F64" s="45"/>
      <c r="G64" s="46" t="s">
        <v>14</v>
      </c>
      <c r="H64" s="46"/>
      <c r="I64" s="48"/>
      <c r="J64" s="49"/>
      <c r="K64" s="49"/>
      <c r="L64" s="46">
        <f>SUM(L63:L63)</f>
        <v>24.3</v>
      </c>
    </row>
    <row r="65" spans="1:12" s="57" customFormat="1">
      <c r="A65" s="50"/>
      <c r="B65" s="51" t="s">
        <v>594</v>
      </c>
      <c r="C65" s="43" t="s">
        <v>562</v>
      </c>
      <c r="D65" s="43" t="s">
        <v>461</v>
      </c>
      <c r="E65" s="43">
        <v>2210</v>
      </c>
      <c r="F65" s="122" t="s">
        <v>599</v>
      </c>
      <c r="G65" s="122" t="s">
        <v>572</v>
      </c>
      <c r="H65" s="124" t="s">
        <v>573</v>
      </c>
      <c r="I65" s="39" t="s">
        <v>12</v>
      </c>
      <c r="J65" s="41">
        <v>3</v>
      </c>
      <c r="K65" s="42">
        <v>8.1</v>
      </c>
      <c r="L65" s="42">
        <v>24.3</v>
      </c>
    </row>
    <row r="66" spans="1:12" s="57" customFormat="1">
      <c r="A66" s="50"/>
      <c r="B66" s="51"/>
      <c r="C66" s="108"/>
      <c r="D66" s="108"/>
      <c r="E66" s="108"/>
      <c r="F66" s="50"/>
      <c r="G66" s="51"/>
      <c r="H66" s="51"/>
      <c r="I66" s="53"/>
      <c r="J66" s="52"/>
      <c r="K66" s="52"/>
      <c r="L66" s="51"/>
    </row>
    <row r="67" spans="1:12">
      <c r="A67" s="45"/>
      <c r="B67" s="46"/>
      <c r="C67" s="47"/>
      <c r="D67" s="47"/>
      <c r="E67" s="47"/>
      <c r="F67" s="45"/>
      <c r="G67" s="46" t="s">
        <v>14</v>
      </c>
      <c r="H67" s="46"/>
      <c r="I67" s="48"/>
      <c r="J67" s="49"/>
      <c r="K67" s="49"/>
      <c r="L67" s="49">
        <f>SUM(L65:L66)</f>
        <v>24.3</v>
      </c>
    </row>
    <row r="68" spans="1:12">
      <c r="A68" s="50">
        <v>1</v>
      </c>
      <c r="B68" s="51" t="s">
        <v>501</v>
      </c>
      <c r="C68" s="43" t="s">
        <v>562</v>
      </c>
      <c r="D68" s="43" t="s">
        <v>461</v>
      </c>
      <c r="E68" s="43">
        <v>2210</v>
      </c>
      <c r="F68" s="122" t="s">
        <v>599</v>
      </c>
      <c r="G68" s="122" t="s">
        <v>572</v>
      </c>
      <c r="H68" s="124" t="s">
        <v>573</v>
      </c>
      <c r="I68" s="39" t="s">
        <v>12</v>
      </c>
      <c r="J68" s="41">
        <v>3</v>
      </c>
      <c r="K68" s="42">
        <v>8.1</v>
      </c>
      <c r="L68" s="42">
        <v>24.3</v>
      </c>
    </row>
    <row r="69" spans="1:12">
      <c r="A69" s="45"/>
      <c r="B69" s="46"/>
      <c r="C69" s="47"/>
      <c r="D69" s="47"/>
      <c r="E69" s="47"/>
      <c r="F69" s="45"/>
      <c r="G69" s="46" t="s">
        <v>14</v>
      </c>
      <c r="H69" s="46"/>
      <c r="I69" s="48"/>
      <c r="J69" s="49"/>
      <c r="K69" s="49"/>
      <c r="L69" s="46">
        <f>SUM(L68:L68)</f>
        <v>24.3</v>
      </c>
    </row>
    <row r="70" spans="1:12" s="57" customFormat="1">
      <c r="A70" s="50"/>
      <c r="B70" s="51" t="s">
        <v>172</v>
      </c>
      <c r="C70" s="43" t="s">
        <v>562</v>
      </c>
      <c r="D70" s="43" t="s">
        <v>461</v>
      </c>
      <c r="E70" s="43">
        <v>2210</v>
      </c>
      <c r="F70" s="122" t="s">
        <v>599</v>
      </c>
      <c r="G70" s="122" t="s">
        <v>572</v>
      </c>
      <c r="H70" s="124" t="s">
        <v>573</v>
      </c>
      <c r="I70" s="39" t="s">
        <v>12</v>
      </c>
      <c r="J70" s="41">
        <v>3</v>
      </c>
      <c r="K70" s="42">
        <v>8.1</v>
      </c>
      <c r="L70" s="42">
        <v>24.3</v>
      </c>
    </row>
    <row r="71" spans="1:12">
      <c r="A71" s="45"/>
      <c r="B71" s="46"/>
      <c r="C71" s="47"/>
      <c r="D71" s="47"/>
      <c r="E71" s="47"/>
      <c r="F71" s="45"/>
      <c r="G71" s="46"/>
      <c r="H71" s="46"/>
      <c r="I71" s="48"/>
      <c r="J71" s="49"/>
      <c r="K71" s="49"/>
      <c r="L71" s="49">
        <f>SUM(L70)</f>
        <v>24.3</v>
      </c>
    </row>
    <row r="72" spans="1:12">
      <c r="A72" s="40">
        <v>1</v>
      </c>
      <c r="B72" s="39" t="s">
        <v>502</v>
      </c>
      <c r="C72" s="43" t="s">
        <v>562</v>
      </c>
      <c r="D72" s="43" t="s">
        <v>461</v>
      </c>
      <c r="E72" s="43">
        <v>2210</v>
      </c>
      <c r="F72" s="122" t="s">
        <v>599</v>
      </c>
      <c r="G72" s="122" t="s">
        <v>572</v>
      </c>
      <c r="H72" s="124" t="s">
        <v>573</v>
      </c>
      <c r="I72" s="39" t="s">
        <v>12</v>
      </c>
      <c r="J72" s="41">
        <v>3</v>
      </c>
      <c r="K72" s="42">
        <v>8.1</v>
      </c>
      <c r="L72" s="42">
        <v>24.3</v>
      </c>
    </row>
    <row r="73" spans="1:12">
      <c r="A73" s="45"/>
      <c r="B73" s="46"/>
      <c r="C73" s="47"/>
      <c r="D73" s="47"/>
      <c r="E73" s="47"/>
      <c r="F73" s="45"/>
      <c r="G73" s="46" t="s">
        <v>14</v>
      </c>
      <c r="H73" s="46"/>
      <c r="I73" s="48"/>
      <c r="J73" s="49"/>
      <c r="K73" s="49"/>
      <c r="L73" s="46">
        <f>SUM(L72:L72)</f>
        <v>24.3</v>
      </c>
    </row>
    <row r="74" spans="1:12" s="57" customFormat="1">
      <c r="A74" s="50"/>
      <c r="B74" s="51" t="s">
        <v>526</v>
      </c>
      <c r="C74" s="43" t="s">
        <v>562</v>
      </c>
      <c r="D74" s="43" t="s">
        <v>461</v>
      </c>
      <c r="E74" s="43">
        <v>2210</v>
      </c>
      <c r="F74" s="122">
        <v>611010</v>
      </c>
      <c r="G74" s="122" t="s">
        <v>572</v>
      </c>
      <c r="H74" s="124" t="s">
        <v>573</v>
      </c>
      <c r="I74" s="39" t="s">
        <v>12</v>
      </c>
      <c r="J74" s="41">
        <v>3</v>
      </c>
      <c r="K74" s="42">
        <v>8.1</v>
      </c>
      <c r="L74" s="42">
        <v>24.3</v>
      </c>
    </row>
    <row r="75" spans="1:12">
      <c r="A75" s="45"/>
      <c r="B75" s="46"/>
      <c r="C75" s="47"/>
      <c r="D75" s="47"/>
      <c r="E75" s="47"/>
      <c r="F75" s="45"/>
      <c r="G75" s="46"/>
      <c r="H75" s="46"/>
      <c r="I75" s="48"/>
      <c r="J75" s="49"/>
      <c r="K75" s="49"/>
      <c r="L75" s="49">
        <f>SUM(L74)</f>
        <v>24.3</v>
      </c>
    </row>
    <row r="76" spans="1:12" s="57" customFormat="1">
      <c r="A76" s="50"/>
      <c r="B76" s="51" t="s">
        <v>595</v>
      </c>
      <c r="C76" s="43" t="s">
        <v>562</v>
      </c>
      <c r="D76" s="43" t="s">
        <v>461</v>
      </c>
      <c r="E76" s="43">
        <v>2210</v>
      </c>
      <c r="F76" s="122">
        <v>611010</v>
      </c>
      <c r="G76" s="122" t="s">
        <v>572</v>
      </c>
      <c r="H76" s="124" t="s">
        <v>573</v>
      </c>
      <c r="I76" s="39" t="s">
        <v>12</v>
      </c>
      <c r="J76" s="41">
        <v>3</v>
      </c>
      <c r="K76" s="42">
        <v>8.1</v>
      </c>
      <c r="L76" s="42">
        <v>24.3</v>
      </c>
    </row>
    <row r="77" spans="1:12">
      <c r="A77" s="45"/>
      <c r="B77" s="46"/>
      <c r="C77" s="47"/>
      <c r="D77" s="47"/>
      <c r="E77" s="47"/>
      <c r="F77" s="45"/>
      <c r="G77" s="46"/>
      <c r="H77" s="46"/>
      <c r="I77" s="48"/>
      <c r="J77" s="49"/>
      <c r="K77" s="49"/>
      <c r="L77" s="49">
        <f>SUM(L76)</f>
        <v>24.3</v>
      </c>
    </row>
    <row r="78" spans="1:12">
      <c r="A78" s="50">
        <v>1</v>
      </c>
      <c r="B78" s="51" t="s">
        <v>503</v>
      </c>
      <c r="C78" s="43" t="s">
        <v>562</v>
      </c>
      <c r="D78" s="43" t="s">
        <v>461</v>
      </c>
      <c r="E78" s="43">
        <v>2210</v>
      </c>
      <c r="F78" s="122">
        <v>611010</v>
      </c>
      <c r="G78" s="122" t="s">
        <v>572</v>
      </c>
      <c r="H78" s="124" t="s">
        <v>573</v>
      </c>
      <c r="I78" s="39" t="s">
        <v>12</v>
      </c>
      <c r="J78" s="41">
        <v>3</v>
      </c>
      <c r="K78" s="42">
        <v>8.1</v>
      </c>
      <c r="L78" s="42">
        <v>24.3</v>
      </c>
    </row>
    <row r="79" spans="1:12">
      <c r="A79" s="50"/>
      <c r="B79" s="51"/>
      <c r="C79" s="43" t="s">
        <v>562</v>
      </c>
      <c r="D79" s="43" t="s">
        <v>461</v>
      </c>
      <c r="E79" s="43">
        <v>2210</v>
      </c>
      <c r="F79" s="122">
        <v>611010</v>
      </c>
      <c r="G79" s="122" t="s">
        <v>572</v>
      </c>
      <c r="H79" s="124" t="s">
        <v>574</v>
      </c>
      <c r="I79" s="39" t="s">
        <v>12</v>
      </c>
      <c r="J79" s="41">
        <v>1</v>
      </c>
      <c r="K79" s="42">
        <v>4.45</v>
      </c>
      <c r="L79" s="42">
        <v>4.45</v>
      </c>
    </row>
    <row r="80" spans="1:12">
      <c r="A80" s="45"/>
      <c r="B80" s="46"/>
      <c r="C80" s="47"/>
      <c r="D80" s="47"/>
      <c r="E80" s="47"/>
      <c r="F80" s="45"/>
      <c r="G80" s="46" t="s">
        <v>14</v>
      </c>
      <c r="H80" s="46"/>
      <c r="I80" s="48"/>
      <c r="J80" s="49"/>
      <c r="K80" s="49"/>
      <c r="L80" s="49">
        <f>SUM(L78:L79)</f>
        <v>28.75</v>
      </c>
    </row>
    <row r="81" spans="1:13" s="57" customFormat="1">
      <c r="A81" s="50"/>
      <c r="B81" s="51" t="s">
        <v>596</v>
      </c>
      <c r="C81" s="43" t="s">
        <v>562</v>
      </c>
      <c r="D81" s="43" t="s">
        <v>461</v>
      </c>
      <c r="E81" s="43">
        <v>2210</v>
      </c>
      <c r="F81" s="122">
        <v>611010</v>
      </c>
      <c r="G81" s="122" t="s">
        <v>572</v>
      </c>
      <c r="H81" s="124" t="s">
        <v>573</v>
      </c>
      <c r="I81" s="39" t="s">
        <v>12</v>
      </c>
      <c r="J81" s="41">
        <v>3</v>
      </c>
      <c r="K81" s="42">
        <v>8.1</v>
      </c>
      <c r="L81" s="42">
        <v>24.3</v>
      </c>
    </row>
    <row r="82" spans="1:13">
      <c r="A82" s="45"/>
      <c r="B82" s="46"/>
      <c r="C82" s="47"/>
      <c r="D82" s="47"/>
      <c r="E82" s="47"/>
      <c r="F82" s="45"/>
      <c r="G82" s="46"/>
      <c r="H82" s="46"/>
      <c r="I82" s="48"/>
      <c r="J82" s="49"/>
      <c r="K82" s="49"/>
      <c r="L82" s="49">
        <f>SUM(L81)</f>
        <v>24.3</v>
      </c>
    </row>
    <row r="83" spans="1:13" s="57" customFormat="1">
      <c r="A83" s="50">
        <v>1</v>
      </c>
      <c r="B83" s="51" t="s">
        <v>504</v>
      </c>
      <c r="C83" s="43" t="s">
        <v>562</v>
      </c>
      <c r="D83" s="43" t="s">
        <v>461</v>
      </c>
      <c r="E83" s="43">
        <v>2210</v>
      </c>
      <c r="F83" s="122">
        <v>611010</v>
      </c>
      <c r="G83" s="122" t="s">
        <v>572</v>
      </c>
      <c r="H83" s="124" t="s">
        <v>573</v>
      </c>
      <c r="I83" s="39" t="s">
        <v>12</v>
      </c>
      <c r="J83" s="41">
        <v>3</v>
      </c>
      <c r="K83" s="42">
        <v>8.1</v>
      </c>
      <c r="L83" s="42">
        <v>24.3</v>
      </c>
    </row>
    <row r="84" spans="1:13">
      <c r="A84" s="45"/>
      <c r="B84" s="46"/>
      <c r="C84" s="47"/>
      <c r="D84" s="47"/>
      <c r="E84" s="47"/>
      <c r="F84" s="45"/>
      <c r="G84" s="46" t="s">
        <v>14</v>
      </c>
      <c r="H84" s="46"/>
      <c r="I84" s="48"/>
      <c r="J84" s="49"/>
      <c r="K84" s="49"/>
      <c r="L84" s="49">
        <f>SUM(L83)</f>
        <v>24.3</v>
      </c>
      <c r="M84" s="44">
        <f>L84+L80+L77+L75+L73+L71+L69+L67+L64+L62+L60+L52+L51+L49+L47+L41+L40+L38+L36+L34+L32+L30+L27+L25+L23+L21</f>
        <v>645.15</v>
      </c>
    </row>
    <row r="85" spans="1:13">
      <c r="A85" s="130"/>
      <c r="B85" s="131"/>
      <c r="C85" s="132"/>
      <c r="D85" s="132"/>
      <c r="E85" s="132"/>
      <c r="F85" s="130"/>
      <c r="G85" s="131"/>
      <c r="H85" s="131"/>
      <c r="I85" s="133"/>
      <c r="J85" s="129"/>
      <c r="K85" s="129"/>
      <c r="L85" s="129">
        <f>L84+L82+L80+L77+L75+L73+L71+L69+L67+L64+L62+L60+L57+L51+L49+L47+L45+L40+L38+L36+L34+L32+L30+L27+L25+L23+L21</f>
        <v>67731.810000000041</v>
      </c>
    </row>
    <row r="86" spans="1:13" ht="15.75">
      <c r="A86" s="59"/>
      <c r="B86" s="58"/>
      <c r="C86" s="58" t="s">
        <v>307</v>
      </c>
      <c r="D86" s="58"/>
      <c r="E86" s="58"/>
      <c r="F86" s="59"/>
      <c r="G86" s="58"/>
      <c r="H86" s="58"/>
      <c r="I86" s="60"/>
      <c r="J86" s="61"/>
      <c r="K86" s="83"/>
      <c r="L86" s="134">
        <f>L85+L19+L9</f>
        <v>67862.210000000036</v>
      </c>
    </row>
    <row r="88" spans="1:13" ht="18.75">
      <c r="B88" s="38" t="s">
        <v>77</v>
      </c>
      <c r="G88" s="103" t="s">
        <v>587</v>
      </c>
      <c r="H88" s="103"/>
      <c r="I88" s="104"/>
      <c r="J88" s="105"/>
      <c r="K88" s="106">
        <f>L86+'Липень КЗШ-2023 '!M157</f>
        <v>8037092.3899999997</v>
      </c>
    </row>
    <row r="89" spans="1:13">
      <c r="K89" s="44">
        <f>8037092.39</f>
        <v>8037092.3899999997</v>
      </c>
    </row>
    <row r="90" spans="1:13">
      <c r="K90" s="44">
        <f>K88-K89</f>
        <v>0</v>
      </c>
    </row>
  </sheetData>
  <mergeCells count="17">
    <mergeCell ref="A1:L1"/>
    <mergeCell ref="H43:H44"/>
    <mergeCell ref="C43:C44"/>
    <mergeCell ref="D43:D44"/>
    <mergeCell ref="E43:E44"/>
    <mergeCell ref="F43:F44"/>
    <mergeCell ref="I43:I44"/>
    <mergeCell ref="J43:J44"/>
    <mergeCell ref="K43:K44"/>
    <mergeCell ref="D54:D56"/>
    <mergeCell ref="E54:E56"/>
    <mergeCell ref="F54:F56"/>
    <mergeCell ref="C54:C56"/>
    <mergeCell ref="K54:K56"/>
    <mergeCell ref="J54:J56"/>
    <mergeCell ref="I54:I56"/>
    <mergeCell ref="H54:H5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65"/>
  <sheetViews>
    <sheetView topLeftCell="A62" workbookViewId="0">
      <selection activeCell="I135" sqref="I135:I136"/>
    </sheetView>
  </sheetViews>
  <sheetFormatPr defaultRowHeight="15"/>
  <cols>
    <col min="1" max="1" width="3.85546875" style="62" customWidth="1"/>
    <col min="2" max="2" width="26.140625" style="38" customWidth="1"/>
    <col min="3" max="3" width="21.85546875" style="38" customWidth="1"/>
    <col min="4" max="4" width="24.5703125" style="38" customWidth="1"/>
    <col min="5" max="5" width="14.28515625" style="38" customWidth="1"/>
    <col min="6" max="6" width="10.28515625" style="62" hidden="1" customWidth="1"/>
    <col min="7" max="7" width="10.28515625" style="62" customWidth="1"/>
    <col min="8" max="8" width="12.7109375" style="62" customWidth="1"/>
    <col min="9" max="9" width="37.140625" style="38" customWidth="1"/>
    <col min="10" max="10" width="7" style="38" customWidth="1"/>
    <col min="11" max="11" width="9.140625" style="64" customWidth="1"/>
    <col min="12" max="12" width="14.7109375" style="44" customWidth="1"/>
    <col min="13" max="13" width="13.85546875" style="44" customWidth="1"/>
    <col min="14" max="14" width="22.85546875" style="38" hidden="1" customWidth="1"/>
    <col min="15" max="15" width="20.7109375" style="38" customWidth="1"/>
    <col min="16" max="16384" width="9.140625" style="38"/>
  </cols>
  <sheetData>
    <row r="1" spans="1:14" ht="18.75">
      <c r="A1" s="179" t="s">
        <v>605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47.25">
      <c r="A2" s="125" t="s">
        <v>0</v>
      </c>
      <c r="B2" s="126" t="s">
        <v>1</v>
      </c>
      <c r="C2" s="126" t="s">
        <v>2</v>
      </c>
      <c r="D2" s="126" t="s">
        <v>456</v>
      </c>
      <c r="E2" s="126" t="s">
        <v>412</v>
      </c>
      <c r="F2" s="126" t="s">
        <v>66</v>
      </c>
      <c r="G2" s="126" t="s">
        <v>66</v>
      </c>
      <c r="H2" s="126" t="s">
        <v>4</v>
      </c>
      <c r="I2" s="126" t="s">
        <v>5</v>
      </c>
      <c r="J2" s="125" t="s">
        <v>6</v>
      </c>
      <c r="K2" s="127" t="s">
        <v>7</v>
      </c>
      <c r="L2" s="128" t="s">
        <v>8</v>
      </c>
      <c r="M2" s="128" t="s">
        <v>9</v>
      </c>
      <c r="N2" s="89" t="s">
        <v>67</v>
      </c>
    </row>
    <row r="3" spans="1:14" ht="15.75">
      <c r="A3" s="138">
        <v>1</v>
      </c>
      <c r="B3" s="39" t="s">
        <v>68</v>
      </c>
      <c r="C3" s="43" t="s">
        <v>535</v>
      </c>
      <c r="D3" s="43" t="s">
        <v>535</v>
      </c>
      <c r="E3" s="43">
        <v>2210</v>
      </c>
      <c r="F3" s="139"/>
      <c r="G3" s="122" t="s">
        <v>567</v>
      </c>
      <c r="H3" s="139">
        <v>1113</v>
      </c>
      <c r="I3" s="143" t="s">
        <v>606</v>
      </c>
      <c r="J3" s="138" t="s">
        <v>12</v>
      </c>
      <c r="K3" s="140">
        <v>4</v>
      </c>
      <c r="L3" s="145">
        <v>366</v>
      </c>
      <c r="M3" s="145">
        <v>1464</v>
      </c>
      <c r="N3" s="89"/>
    </row>
    <row r="4" spans="1:14" ht="15.75">
      <c r="A4" s="138">
        <v>2</v>
      </c>
      <c r="B4" s="39" t="s">
        <v>68</v>
      </c>
      <c r="C4" s="43" t="s">
        <v>535</v>
      </c>
      <c r="D4" s="43" t="s">
        <v>535</v>
      </c>
      <c r="E4" s="43">
        <v>2210</v>
      </c>
      <c r="F4" s="139"/>
      <c r="G4" s="122" t="s">
        <v>567</v>
      </c>
      <c r="H4" s="139">
        <v>1113</v>
      </c>
      <c r="I4" s="143" t="s">
        <v>607</v>
      </c>
      <c r="J4" s="138" t="s">
        <v>12</v>
      </c>
      <c r="K4" s="140">
        <v>1</v>
      </c>
      <c r="L4" s="145">
        <v>2346</v>
      </c>
      <c r="M4" s="145">
        <v>2346</v>
      </c>
      <c r="N4" s="89"/>
    </row>
    <row r="5" spans="1:14" ht="15.75">
      <c r="A5" s="138">
        <v>3</v>
      </c>
      <c r="B5" s="39" t="s">
        <v>68</v>
      </c>
      <c r="C5" s="43" t="s">
        <v>535</v>
      </c>
      <c r="D5" s="43" t="s">
        <v>535</v>
      </c>
      <c r="E5" s="43">
        <v>2210</v>
      </c>
      <c r="F5" s="139"/>
      <c r="G5" s="122" t="s">
        <v>567</v>
      </c>
      <c r="H5" s="139">
        <v>1113</v>
      </c>
      <c r="I5" s="143" t="s">
        <v>608</v>
      </c>
      <c r="J5" s="138" t="s">
        <v>12</v>
      </c>
      <c r="K5" s="140">
        <v>2</v>
      </c>
      <c r="L5" s="145">
        <v>248.4</v>
      </c>
      <c r="M5" s="145">
        <v>496.8</v>
      </c>
      <c r="N5" s="89"/>
    </row>
    <row r="6" spans="1:14" ht="15.75">
      <c r="A6" s="138">
        <v>4</v>
      </c>
      <c r="B6" s="39" t="s">
        <v>68</v>
      </c>
      <c r="C6" s="43" t="s">
        <v>535</v>
      </c>
      <c r="D6" s="43" t="s">
        <v>535</v>
      </c>
      <c r="E6" s="43">
        <v>2210</v>
      </c>
      <c r="F6" s="139"/>
      <c r="G6" s="122" t="s">
        <v>567</v>
      </c>
      <c r="H6" s="139">
        <v>1113</v>
      </c>
      <c r="I6" s="143" t="s">
        <v>615</v>
      </c>
      <c r="J6" s="138" t="s">
        <v>12</v>
      </c>
      <c r="K6" s="140">
        <v>1</v>
      </c>
      <c r="L6" s="145">
        <v>256.8</v>
      </c>
      <c r="M6" s="145">
        <v>256.8</v>
      </c>
      <c r="N6" s="89"/>
    </row>
    <row r="7" spans="1:14" ht="15.75">
      <c r="A7" s="138">
        <v>5</v>
      </c>
      <c r="B7" s="39" t="s">
        <v>68</v>
      </c>
      <c r="C7" s="43" t="s">
        <v>535</v>
      </c>
      <c r="D7" s="43" t="s">
        <v>535</v>
      </c>
      <c r="E7" s="43">
        <v>2210</v>
      </c>
      <c r="F7" s="139"/>
      <c r="G7" s="122" t="s">
        <v>567</v>
      </c>
      <c r="H7" s="139">
        <v>1113</v>
      </c>
      <c r="I7" s="143" t="s">
        <v>609</v>
      </c>
      <c r="J7" s="138" t="s">
        <v>12</v>
      </c>
      <c r="K7" s="140">
        <v>1</v>
      </c>
      <c r="L7" s="145">
        <v>3339.6</v>
      </c>
      <c r="M7" s="145">
        <v>3339.6</v>
      </c>
      <c r="N7" s="89"/>
    </row>
    <row r="8" spans="1:14" ht="15.75">
      <c r="A8" s="138">
        <v>6</v>
      </c>
      <c r="B8" s="39" t="s">
        <v>68</v>
      </c>
      <c r="C8" s="43" t="s">
        <v>535</v>
      </c>
      <c r="D8" s="43" t="s">
        <v>535</v>
      </c>
      <c r="E8" s="43">
        <v>2210</v>
      </c>
      <c r="F8" s="40"/>
      <c r="G8" s="122" t="s">
        <v>567</v>
      </c>
      <c r="H8" s="139">
        <v>1113</v>
      </c>
      <c r="I8" s="141" t="s">
        <v>610</v>
      </c>
      <c r="J8" s="138" t="s">
        <v>12</v>
      </c>
      <c r="K8" s="41">
        <v>1</v>
      </c>
      <c r="L8" s="144">
        <v>345.6</v>
      </c>
      <c r="M8" s="144">
        <v>345.6</v>
      </c>
      <c r="N8" s="42" t="s">
        <v>458</v>
      </c>
    </row>
    <row r="9" spans="1:14" ht="15.75">
      <c r="A9" s="138">
        <v>7</v>
      </c>
      <c r="B9" s="39" t="s">
        <v>68</v>
      </c>
      <c r="C9" s="43" t="s">
        <v>535</v>
      </c>
      <c r="D9" s="43" t="s">
        <v>535</v>
      </c>
      <c r="E9" s="43">
        <v>2210</v>
      </c>
      <c r="F9" s="40"/>
      <c r="G9" s="122" t="s">
        <v>567</v>
      </c>
      <c r="H9" s="139">
        <v>1113</v>
      </c>
      <c r="I9" s="142" t="s">
        <v>611</v>
      </c>
      <c r="J9" s="138" t="s">
        <v>12</v>
      </c>
      <c r="K9" s="41">
        <v>3</v>
      </c>
      <c r="L9" s="144">
        <v>204</v>
      </c>
      <c r="M9" s="144">
        <v>612</v>
      </c>
      <c r="N9" s="39" t="s">
        <v>459</v>
      </c>
    </row>
    <row r="10" spans="1:14" ht="15.75">
      <c r="A10" s="138">
        <v>8</v>
      </c>
      <c r="B10" s="39" t="s">
        <v>68</v>
      </c>
      <c r="C10" s="43" t="s">
        <v>535</v>
      </c>
      <c r="D10" s="43" t="s">
        <v>535</v>
      </c>
      <c r="E10" s="43">
        <v>2210</v>
      </c>
      <c r="F10" s="40"/>
      <c r="G10" s="122" t="s">
        <v>567</v>
      </c>
      <c r="H10" s="139">
        <v>1113</v>
      </c>
      <c r="I10" s="142" t="s">
        <v>612</v>
      </c>
      <c r="J10" s="138" t="s">
        <v>12</v>
      </c>
      <c r="K10" s="41">
        <v>1</v>
      </c>
      <c r="L10" s="144">
        <v>632.4</v>
      </c>
      <c r="M10" s="144">
        <v>632.4</v>
      </c>
      <c r="N10" s="39" t="s">
        <v>459</v>
      </c>
    </row>
    <row r="11" spans="1:14" ht="15.75">
      <c r="A11" s="138">
        <v>9</v>
      </c>
      <c r="B11" s="39" t="s">
        <v>68</v>
      </c>
      <c r="C11" s="43" t="s">
        <v>535</v>
      </c>
      <c r="D11" s="43" t="s">
        <v>535</v>
      </c>
      <c r="E11" s="43">
        <v>2210</v>
      </c>
      <c r="F11" s="40"/>
      <c r="G11" s="122" t="s">
        <v>567</v>
      </c>
      <c r="H11" s="139">
        <v>1113</v>
      </c>
      <c r="I11" s="142" t="s">
        <v>613</v>
      </c>
      <c r="J11" s="138" t="s">
        <v>12</v>
      </c>
      <c r="K11" s="41">
        <v>1</v>
      </c>
      <c r="L11" s="144">
        <v>342</v>
      </c>
      <c r="M11" s="144">
        <v>342</v>
      </c>
      <c r="N11" s="39"/>
    </row>
    <row r="12" spans="1:14" ht="15.75">
      <c r="A12" s="138">
        <v>10</v>
      </c>
      <c r="B12" s="39" t="s">
        <v>68</v>
      </c>
      <c r="C12" s="43" t="s">
        <v>535</v>
      </c>
      <c r="D12" s="43" t="s">
        <v>535</v>
      </c>
      <c r="E12" s="43">
        <v>2210</v>
      </c>
      <c r="F12" s="40"/>
      <c r="G12" s="122" t="s">
        <v>567</v>
      </c>
      <c r="H12" s="122" t="s">
        <v>11</v>
      </c>
      <c r="I12" s="142" t="s">
        <v>614</v>
      </c>
      <c r="J12" s="138" t="s">
        <v>12</v>
      </c>
      <c r="K12" s="41">
        <v>10</v>
      </c>
      <c r="L12" s="144">
        <v>21.3</v>
      </c>
      <c r="M12" s="144">
        <v>213</v>
      </c>
      <c r="N12" s="39" t="s">
        <v>459</v>
      </c>
    </row>
    <row r="13" spans="1:14" ht="46.5" customHeight="1">
      <c r="A13" s="138">
        <v>11</v>
      </c>
      <c r="B13" s="39" t="s">
        <v>68</v>
      </c>
      <c r="C13" s="43" t="s">
        <v>410</v>
      </c>
      <c r="D13" s="43" t="s">
        <v>616</v>
      </c>
      <c r="E13" s="43">
        <v>2230</v>
      </c>
      <c r="F13" s="40"/>
      <c r="G13" s="122" t="s">
        <v>570</v>
      </c>
      <c r="H13" s="122" t="s">
        <v>411</v>
      </c>
      <c r="I13" s="142" t="s">
        <v>617</v>
      </c>
      <c r="J13" s="138" t="s">
        <v>12</v>
      </c>
      <c r="K13" s="41">
        <v>8</v>
      </c>
      <c r="L13" s="144">
        <v>80</v>
      </c>
      <c r="M13" s="144">
        <v>640</v>
      </c>
      <c r="N13" s="39"/>
    </row>
    <row r="14" spans="1:14">
      <c r="A14" s="45"/>
      <c r="B14" s="46"/>
      <c r="C14" s="47"/>
      <c r="D14" s="47"/>
      <c r="E14" s="47"/>
      <c r="F14" s="45"/>
      <c r="G14" s="45"/>
      <c r="H14" s="45"/>
      <c r="I14" s="46" t="s">
        <v>14</v>
      </c>
      <c r="J14" s="46"/>
      <c r="K14" s="48"/>
      <c r="L14" s="49"/>
      <c r="M14" s="49">
        <f>SUM(M3:M13)</f>
        <v>10688.2</v>
      </c>
      <c r="N14" s="49">
        <f>SUM(N8:N12)</f>
        <v>0</v>
      </c>
    </row>
    <row r="15" spans="1:14" hidden="1">
      <c r="A15" s="50"/>
      <c r="B15" s="51" t="s">
        <v>78</v>
      </c>
      <c r="C15" s="43"/>
      <c r="D15" s="43"/>
      <c r="E15" s="43"/>
      <c r="F15" s="40"/>
      <c r="G15" s="122"/>
      <c r="H15" s="40"/>
      <c r="I15" s="39"/>
      <c r="J15" s="39"/>
      <c r="K15" s="41"/>
      <c r="L15" s="42"/>
      <c r="M15" s="42"/>
      <c r="N15" s="42" t="s">
        <v>458</v>
      </c>
    </row>
    <row r="16" spans="1:14" hidden="1">
      <c r="A16" s="50"/>
      <c r="B16" s="51" t="s">
        <v>78</v>
      </c>
      <c r="C16" s="43"/>
      <c r="D16" s="43"/>
      <c r="E16" s="43"/>
      <c r="F16" s="40"/>
      <c r="G16" s="122"/>
      <c r="H16" s="122"/>
      <c r="I16" s="124"/>
      <c r="J16" s="39"/>
      <c r="K16" s="41"/>
      <c r="L16" s="42"/>
      <c r="M16" s="42"/>
      <c r="N16" s="42"/>
    </row>
    <row r="17" spans="1:14" hidden="1">
      <c r="A17" s="50"/>
      <c r="B17" s="51" t="s">
        <v>78</v>
      </c>
      <c r="C17" s="43"/>
      <c r="D17" s="43"/>
      <c r="E17" s="43"/>
      <c r="F17" s="40"/>
      <c r="G17" s="122"/>
      <c r="H17" s="122"/>
      <c r="I17" s="124"/>
      <c r="J17" s="39"/>
      <c r="K17" s="41"/>
      <c r="L17" s="42"/>
      <c r="M17" s="42"/>
      <c r="N17" s="42"/>
    </row>
    <row r="18" spans="1:14" hidden="1">
      <c r="A18" s="45"/>
      <c r="B18" s="46"/>
      <c r="C18" s="47"/>
      <c r="D18" s="47"/>
      <c r="E18" s="47"/>
      <c r="F18" s="45"/>
      <c r="G18" s="45"/>
      <c r="H18" s="45"/>
      <c r="I18" s="46" t="s">
        <v>14</v>
      </c>
      <c r="J18" s="46"/>
      <c r="K18" s="48"/>
      <c r="L18" s="49"/>
      <c r="M18" s="49">
        <f>SUM(M15:N17)</f>
        <v>0</v>
      </c>
      <c r="N18" s="46"/>
    </row>
    <row r="19" spans="1:14" hidden="1">
      <c r="A19" s="40">
        <v>1</v>
      </c>
      <c r="B19" s="39" t="s">
        <v>31</v>
      </c>
      <c r="C19" s="43"/>
      <c r="D19" s="43"/>
      <c r="E19" s="43"/>
      <c r="F19" s="40"/>
      <c r="G19" s="122"/>
      <c r="H19" s="40"/>
      <c r="I19" s="39"/>
      <c r="J19" s="39"/>
      <c r="K19" s="41"/>
      <c r="L19" s="42"/>
      <c r="M19" s="42"/>
      <c r="N19" s="42" t="s">
        <v>458</v>
      </c>
    </row>
    <row r="20" spans="1:14" hidden="1">
      <c r="A20" s="40">
        <v>2</v>
      </c>
      <c r="B20" s="39" t="s">
        <v>31</v>
      </c>
      <c r="C20" s="43"/>
      <c r="D20" s="43"/>
      <c r="E20" s="43"/>
      <c r="F20" s="40"/>
      <c r="G20" s="122"/>
      <c r="H20" s="40"/>
      <c r="I20" s="39"/>
      <c r="J20" s="39"/>
      <c r="K20" s="41"/>
      <c r="L20" s="42"/>
      <c r="M20" s="42"/>
      <c r="N20" s="42" t="s">
        <v>458</v>
      </c>
    </row>
    <row r="21" spans="1:14" hidden="1">
      <c r="A21" s="40">
        <v>3</v>
      </c>
      <c r="B21" s="39" t="s">
        <v>31</v>
      </c>
      <c r="C21" s="43"/>
      <c r="D21" s="43"/>
      <c r="E21" s="43"/>
      <c r="F21" s="40"/>
      <c r="G21" s="122"/>
      <c r="H21" s="122"/>
      <c r="I21" s="124"/>
      <c r="J21" s="39"/>
      <c r="K21" s="41"/>
      <c r="L21" s="42"/>
      <c r="M21" s="42"/>
      <c r="N21" s="42" t="s">
        <v>458</v>
      </c>
    </row>
    <row r="22" spans="1:14" hidden="1">
      <c r="A22" s="40">
        <v>4</v>
      </c>
      <c r="B22" s="39" t="s">
        <v>31</v>
      </c>
      <c r="C22" s="43"/>
      <c r="D22" s="43"/>
      <c r="E22" s="43"/>
      <c r="F22" s="40"/>
      <c r="G22" s="122"/>
      <c r="H22" s="122"/>
      <c r="I22" s="124"/>
      <c r="J22" s="39"/>
      <c r="K22" s="41"/>
      <c r="L22" s="42"/>
      <c r="M22" s="42"/>
      <c r="N22" s="42" t="s">
        <v>458</v>
      </c>
    </row>
    <row r="23" spans="1:14" hidden="1">
      <c r="A23" s="45"/>
      <c r="B23" s="46"/>
      <c r="C23" s="47"/>
      <c r="D23" s="47"/>
      <c r="E23" s="47"/>
      <c r="F23" s="45"/>
      <c r="G23" s="45"/>
      <c r="H23" s="45"/>
      <c r="I23" s="46" t="s">
        <v>14</v>
      </c>
      <c r="J23" s="46"/>
      <c r="K23" s="48"/>
      <c r="L23" s="49"/>
      <c r="M23" s="49">
        <f>SUM(M19:M22)</f>
        <v>0</v>
      </c>
      <c r="N23" s="49">
        <f>SUM(N19:N22)</f>
        <v>0</v>
      </c>
    </row>
    <row r="24" spans="1:14" hidden="1">
      <c r="A24" s="40">
        <v>3</v>
      </c>
      <c r="B24" s="39" t="s">
        <v>34</v>
      </c>
      <c r="C24" s="43"/>
      <c r="D24" s="43"/>
      <c r="E24" s="43"/>
      <c r="F24" s="40"/>
      <c r="G24" s="122"/>
      <c r="H24" s="40"/>
      <c r="I24" s="39"/>
      <c r="J24" s="39"/>
      <c r="K24" s="41"/>
      <c r="L24" s="42"/>
      <c r="M24" s="42"/>
      <c r="N24" s="42" t="s">
        <v>458</v>
      </c>
    </row>
    <row r="25" spans="1:14" hidden="1">
      <c r="A25" s="40"/>
      <c r="B25" s="39" t="s">
        <v>34</v>
      </c>
      <c r="C25" s="43"/>
      <c r="D25" s="43"/>
      <c r="E25" s="43"/>
      <c r="F25" s="40"/>
      <c r="G25" s="122"/>
      <c r="H25" s="40"/>
      <c r="I25" s="39"/>
      <c r="J25" s="39"/>
      <c r="K25" s="41"/>
      <c r="L25" s="42"/>
      <c r="M25" s="42"/>
      <c r="N25" s="42" t="s">
        <v>458</v>
      </c>
    </row>
    <row r="26" spans="1:14" hidden="1">
      <c r="A26" s="40"/>
      <c r="B26" s="39"/>
      <c r="C26" s="43"/>
      <c r="D26" s="43"/>
      <c r="E26" s="43"/>
      <c r="F26" s="40"/>
      <c r="G26" s="122"/>
      <c r="H26" s="122"/>
      <c r="I26" s="124"/>
      <c r="J26" s="39"/>
      <c r="K26" s="41"/>
      <c r="L26" s="42"/>
      <c r="M26" s="42"/>
      <c r="N26" s="42"/>
    </row>
    <row r="27" spans="1:14" hidden="1">
      <c r="A27" s="40"/>
      <c r="B27" s="39"/>
      <c r="C27" s="43"/>
      <c r="D27" s="43"/>
      <c r="E27" s="43"/>
      <c r="F27" s="40"/>
      <c r="G27" s="122"/>
      <c r="H27" s="122"/>
      <c r="I27" s="124"/>
      <c r="J27" s="39"/>
      <c r="K27" s="41"/>
      <c r="L27" s="42"/>
      <c r="M27" s="42"/>
      <c r="N27" s="42"/>
    </row>
    <row r="28" spans="1:14" hidden="1">
      <c r="A28" s="45"/>
      <c r="B28" s="46"/>
      <c r="C28" s="47"/>
      <c r="D28" s="47"/>
      <c r="E28" s="47"/>
      <c r="F28" s="45"/>
      <c r="G28" s="45"/>
      <c r="H28" s="45"/>
      <c r="I28" s="46" t="s">
        <v>14</v>
      </c>
      <c r="J28" s="46"/>
      <c r="K28" s="48"/>
      <c r="L28" s="49"/>
      <c r="M28" s="49">
        <f>SUM(M24:N27)</f>
        <v>0</v>
      </c>
      <c r="N28" s="46"/>
    </row>
    <row r="29" spans="1:14" hidden="1">
      <c r="A29" s="50">
        <v>1</v>
      </c>
      <c r="B29" s="51" t="s">
        <v>35</v>
      </c>
      <c r="C29" s="43"/>
      <c r="D29" s="43"/>
      <c r="E29" s="43"/>
      <c r="F29" s="40"/>
      <c r="G29" s="122"/>
      <c r="H29" s="40"/>
      <c r="I29" s="39"/>
      <c r="J29" s="39"/>
      <c r="K29" s="41"/>
      <c r="L29" s="42"/>
      <c r="M29" s="42"/>
      <c r="N29" s="42" t="s">
        <v>458</v>
      </c>
    </row>
    <row r="30" spans="1:14" hidden="1">
      <c r="A30" s="50"/>
      <c r="B30" s="51"/>
      <c r="C30" s="43"/>
      <c r="D30" s="43"/>
      <c r="E30" s="43"/>
      <c r="F30" s="40"/>
      <c r="G30" s="122"/>
      <c r="H30" s="40"/>
      <c r="I30" s="39"/>
      <c r="J30" s="39"/>
      <c r="K30" s="41"/>
      <c r="L30" s="42"/>
      <c r="M30" s="42"/>
      <c r="N30" s="42"/>
    </row>
    <row r="31" spans="1:14" hidden="1">
      <c r="A31" s="50"/>
      <c r="B31" s="51"/>
      <c r="C31" s="43"/>
      <c r="D31" s="43"/>
      <c r="E31" s="43"/>
      <c r="F31" s="40"/>
      <c r="G31" s="122"/>
      <c r="H31" s="122"/>
      <c r="I31" s="124"/>
      <c r="J31" s="39"/>
      <c r="K31" s="41"/>
      <c r="L31" s="42"/>
      <c r="M31" s="42"/>
      <c r="N31" s="42"/>
    </row>
    <row r="32" spans="1:14" hidden="1">
      <c r="A32" s="50"/>
      <c r="B32" s="51"/>
      <c r="C32" s="43"/>
      <c r="D32" s="43"/>
      <c r="E32" s="43"/>
      <c r="F32" s="40"/>
      <c r="G32" s="122"/>
      <c r="H32" s="122"/>
      <c r="I32" s="124"/>
      <c r="J32" s="39"/>
      <c r="K32" s="41"/>
      <c r="L32" s="42"/>
      <c r="M32" s="42"/>
      <c r="N32" s="42"/>
    </row>
    <row r="33" spans="1:14" hidden="1">
      <c r="A33" s="45"/>
      <c r="B33" s="46"/>
      <c r="C33" s="47"/>
      <c r="D33" s="47"/>
      <c r="E33" s="47"/>
      <c r="F33" s="45"/>
      <c r="G33" s="45"/>
      <c r="H33" s="45"/>
      <c r="I33" s="46" t="s">
        <v>14</v>
      </c>
      <c r="J33" s="46"/>
      <c r="K33" s="48"/>
      <c r="L33" s="49"/>
      <c r="M33" s="49">
        <f>SUM(M29:M32)</f>
        <v>0</v>
      </c>
      <c r="N33" s="46"/>
    </row>
    <row r="34" spans="1:14" hidden="1">
      <c r="A34" s="50">
        <v>1</v>
      </c>
      <c r="B34" s="51" t="s">
        <v>36</v>
      </c>
      <c r="C34" s="43"/>
      <c r="D34" s="43"/>
      <c r="E34" s="43"/>
      <c r="F34" s="40"/>
      <c r="G34" s="122"/>
      <c r="H34" s="40"/>
      <c r="I34" s="39"/>
      <c r="J34" s="39"/>
      <c r="K34" s="41"/>
      <c r="L34" s="42"/>
      <c r="M34" s="42"/>
      <c r="N34" s="42" t="s">
        <v>458</v>
      </c>
    </row>
    <row r="35" spans="1:14" hidden="1">
      <c r="A35" s="50">
        <v>2</v>
      </c>
      <c r="B35" s="51" t="s">
        <v>36</v>
      </c>
      <c r="C35" s="43"/>
      <c r="D35" s="43"/>
      <c r="E35" s="43"/>
      <c r="F35" s="40"/>
      <c r="G35" s="122"/>
      <c r="H35" s="122"/>
      <c r="I35" s="124"/>
      <c r="J35" s="39"/>
      <c r="K35" s="41"/>
      <c r="L35" s="42"/>
      <c r="M35" s="42"/>
      <c r="N35" s="42" t="s">
        <v>458</v>
      </c>
    </row>
    <row r="36" spans="1:14" hidden="1">
      <c r="A36" s="50"/>
      <c r="B36" s="51"/>
      <c r="C36" s="43"/>
      <c r="D36" s="43"/>
      <c r="E36" s="43"/>
      <c r="F36" s="40"/>
      <c r="G36" s="122"/>
      <c r="H36" s="122"/>
      <c r="I36" s="124"/>
      <c r="J36" s="39"/>
      <c r="K36" s="41"/>
      <c r="L36" s="42"/>
      <c r="M36" s="42"/>
      <c r="N36" s="42"/>
    </row>
    <row r="37" spans="1:14" hidden="1">
      <c r="A37" s="50"/>
      <c r="B37" s="51"/>
      <c r="C37" s="43"/>
      <c r="D37" s="43"/>
      <c r="E37" s="43"/>
      <c r="F37" s="40"/>
      <c r="G37" s="122"/>
      <c r="H37" s="122"/>
      <c r="I37" s="124"/>
      <c r="J37" s="39"/>
      <c r="K37" s="41"/>
      <c r="L37" s="42"/>
      <c r="M37" s="42"/>
      <c r="N37" s="42"/>
    </row>
    <row r="38" spans="1:14" hidden="1">
      <c r="A38" s="50"/>
      <c r="B38" s="51"/>
      <c r="C38" s="43"/>
      <c r="D38" s="43"/>
      <c r="E38" s="43"/>
      <c r="F38" s="40"/>
      <c r="G38" s="122"/>
      <c r="H38" s="122"/>
      <c r="I38" s="124"/>
      <c r="J38" s="39"/>
      <c r="K38" s="41"/>
      <c r="L38" s="42"/>
      <c r="M38" s="42"/>
      <c r="N38" s="42"/>
    </row>
    <row r="39" spans="1:14" hidden="1">
      <c r="A39" s="50"/>
      <c r="B39" s="51"/>
      <c r="C39" s="43"/>
      <c r="D39" s="43"/>
      <c r="E39" s="43"/>
      <c r="F39" s="40"/>
      <c r="G39" s="122"/>
      <c r="H39" s="122"/>
      <c r="I39" s="124"/>
      <c r="J39" s="39"/>
      <c r="K39" s="41"/>
      <c r="L39" s="42"/>
      <c r="M39" s="42"/>
      <c r="N39" s="42"/>
    </row>
    <row r="40" spans="1:14" hidden="1">
      <c r="A40" s="50"/>
      <c r="B40" s="51"/>
      <c r="C40" s="43"/>
      <c r="D40" s="43"/>
      <c r="E40" s="43"/>
      <c r="F40" s="40"/>
      <c r="G40" s="122"/>
      <c r="H40" s="122"/>
      <c r="I40" s="124"/>
      <c r="J40" s="39"/>
      <c r="K40" s="41"/>
      <c r="L40" s="42"/>
      <c r="M40" s="42"/>
      <c r="N40" s="42"/>
    </row>
    <row r="41" spans="1:14" hidden="1">
      <c r="A41" s="50"/>
      <c r="B41" s="51"/>
      <c r="C41" s="43"/>
      <c r="D41" s="43"/>
      <c r="E41" s="43"/>
      <c r="F41" s="40"/>
      <c r="G41" s="122"/>
      <c r="H41" s="122"/>
      <c r="I41" s="124"/>
      <c r="J41" s="39"/>
      <c r="K41" s="41"/>
      <c r="L41" s="42"/>
      <c r="M41" s="42"/>
      <c r="N41" s="42"/>
    </row>
    <row r="42" spans="1:14" hidden="1">
      <c r="A42" s="50"/>
      <c r="B42" s="51"/>
      <c r="C42" s="43"/>
      <c r="D42" s="43"/>
      <c r="E42" s="43"/>
      <c r="F42" s="40"/>
      <c r="G42" s="122"/>
      <c r="H42" s="122"/>
      <c r="I42" s="124"/>
      <c r="J42" s="39"/>
      <c r="K42" s="41"/>
      <c r="L42" s="42"/>
      <c r="M42" s="42"/>
      <c r="N42" s="42"/>
    </row>
    <row r="43" spans="1:14" hidden="1">
      <c r="A43" s="50"/>
      <c r="B43" s="51"/>
      <c r="C43" s="43"/>
      <c r="D43" s="43"/>
      <c r="E43" s="43"/>
      <c r="F43" s="40"/>
      <c r="G43" s="122"/>
      <c r="H43" s="122"/>
      <c r="I43" s="124"/>
      <c r="J43" s="39"/>
      <c r="K43" s="41"/>
      <c r="L43" s="42"/>
      <c r="M43" s="42"/>
      <c r="N43" s="42"/>
    </row>
    <row r="44" spans="1:14" hidden="1">
      <c r="A44" s="50"/>
      <c r="B44" s="51"/>
      <c r="C44" s="43"/>
      <c r="D44" s="43"/>
      <c r="E44" s="43"/>
      <c r="F44" s="40"/>
      <c r="G44" s="122"/>
      <c r="H44" s="122"/>
      <c r="I44" s="124"/>
      <c r="J44" s="39"/>
      <c r="K44" s="41"/>
      <c r="L44" s="42"/>
      <c r="M44" s="42"/>
      <c r="N44" s="42"/>
    </row>
    <row r="45" spans="1:14" hidden="1">
      <c r="A45" s="50"/>
      <c r="B45" s="51"/>
      <c r="C45" s="43"/>
      <c r="D45" s="43"/>
      <c r="E45" s="43"/>
      <c r="F45" s="40"/>
      <c r="G45" s="122"/>
      <c r="H45" s="122"/>
      <c r="I45" s="39"/>
      <c r="J45" s="39"/>
      <c r="K45" s="41"/>
      <c r="L45" s="42"/>
      <c r="M45" s="42"/>
      <c r="N45" s="42"/>
    </row>
    <row r="46" spans="1:14" hidden="1">
      <c r="A46" s="50"/>
      <c r="B46" s="51"/>
      <c r="C46" s="43"/>
      <c r="D46" s="43"/>
      <c r="E46" s="43"/>
      <c r="F46" s="40"/>
      <c r="G46" s="122"/>
      <c r="H46" s="122"/>
      <c r="I46" s="39"/>
      <c r="J46" s="39"/>
      <c r="K46" s="41"/>
      <c r="L46" s="42"/>
      <c r="M46" s="42"/>
      <c r="N46" s="42"/>
    </row>
    <row r="47" spans="1:14" hidden="1">
      <c r="A47" s="50"/>
      <c r="B47" s="51"/>
      <c r="C47" s="43"/>
      <c r="D47" s="43"/>
      <c r="E47" s="43"/>
      <c r="F47" s="40"/>
      <c r="G47" s="122"/>
      <c r="H47" s="122"/>
      <c r="I47" s="39"/>
      <c r="J47" s="39"/>
      <c r="K47" s="41"/>
      <c r="L47" s="42"/>
      <c r="M47" s="42"/>
      <c r="N47" s="42"/>
    </row>
    <row r="48" spans="1:14" hidden="1">
      <c r="A48" s="45"/>
      <c r="B48" s="46"/>
      <c r="C48" s="47"/>
      <c r="D48" s="47"/>
      <c r="E48" s="47"/>
      <c r="F48" s="45"/>
      <c r="G48" s="45"/>
      <c r="H48" s="45"/>
      <c r="I48" s="46" t="s">
        <v>14</v>
      </c>
      <c r="J48" s="46"/>
      <c r="K48" s="48"/>
      <c r="L48" s="49"/>
      <c r="M48" s="49">
        <f>SUM(M34:M47)</f>
        <v>0</v>
      </c>
      <c r="N48" s="46">
        <f>SUM(N34:N47)</f>
        <v>0</v>
      </c>
    </row>
    <row r="49" spans="1:15" hidden="1">
      <c r="A49" s="50">
        <v>1</v>
      </c>
      <c r="B49" s="51" t="s">
        <v>56</v>
      </c>
      <c r="C49" s="43"/>
      <c r="D49" s="43"/>
      <c r="E49" s="43"/>
      <c r="F49" s="40"/>
      <c r="G49" s="122"/>
      <c r="H49" s="40"/>
      <c r="I49" s="39"/>
      <c r="J49" s="39"/>
      <c r="K49" s="41"/>
      <c r="L49" s="42"/>
      <c r="M49" s="42"/>
      <c r="N49" s="42" t="s">
        <v>458</v>
      </c>
    </row>
    <row r="50" spans="1:15" hidden="1">
      <c r="A50" s="50">
        <v>2</v>
      </c>
      <c r="B50" s="51"/>
      <c r="C50" s="43"/>
      <c r="D50" s="43"/>
      <c r="E50" s="43"/>
      <c r="F50" s="40"/>
      <c r="G50" s="122"/>
      <c r="H50" s="40"/>
      <c r="I50" s="39"/>
      <c r="J50" s="39"/>
      <c r="K50" s="41"/>
      <c r="L50" s="42"/>
      <c r="M50" s="42"/>
      <c r="N50" s="42" t="s">
        <v>458</v>
      </c>
    </row>
    <row r="51" spans="1:15" hidden="1">
      <c r="A51" s="50">
        <v>3</v>
      </c>
      <c r="B51" s="51"/>
      <c r="C51" s="43"/>
      <c r="D51" s="43"/>
      <c r="E51" s="43"/>
      <c r="F51" s="40"/>
      <c r="G51" s="122"/>
      <c r="H51" s="122"/>
      <c r="I51" s="124"/>
      <c r="J51" s="39"/>
      <c r="K51" s="41"/>
      <c r="L51" s="42"/>
      <c r="M51" s="42"/>
      <c r="N51" s="42" t="s">
        <v>458</v>
      </c>
    </row>
    <row r="52" spans="1:15" hidden="1">
      <c r="A52" s="50">
        <v>4</v>
      </c>
      <c r="B52" s="51"/>
      <c r="C52" s="43"/>
      <c r="D52" s="43"/>
      <c r="E52" s="43"/>
      <c r="F52" s="40"/>
      <c r="G52" s="122"/>
      <c r="H52" s="122"/>
      <c r="I52" s="124"/>
      <c r="J52" s="39"/>
      <c r="K52" s="41"/>
      <c r="L52" s="42"/>
      <c r="M52" s="42"/>
      <c r="N52" s="42" t="s">
        <v>458</v>
      </c>
    </row>
    <row r="53" spans="1:15" hidden="1">
      <c r="A53" s="50">
        <v>5</v>
      </c>
      <c r="B53" s="51"/>
      <c r="C53" s="43"/>
      <c r="D53" s="123"/>
      <c r="E53" s="43"/>
      <c r="F53" s="40"/>
      <c r="G53" s="40"/>
      <c r="H53" s="40"/>
      <c r="I53" s="43"/>
      <c r="J53" s="51"/>
      <c r="K53" s="41"/>
      <c r="L53" s="42"/>
      <c r="M53" s="42"/>
      <c r="N53" s="42" t="s">
        <v>458</v>
      </c>
    </row>
    <row r="54" spans="1:15" hidden="1">
      <c r="A54" s="45"/>
      <c r="B54" s="46"/>
      <c r="C54" s="47"/>
      <c r="D54" s="47"/>
      <c r="E54" s="47"/>
      <c r="F54" s="45"/>
      <c r="G54" s="45"/>
      <c r="H54" s="45"/>
      <c r="I54" s="46" t="s">
        <v>14</v>
      </c>
      <c r="J54" s="46"/>
      <c r="K54" s="48"/>
      <c r="L54" s="49"/>
      <c r="M54" s="49">
        <f>SUM(M49:M53)</f>
        <v>0</v>
      </c>
      <c r="N54" s="46">
        <f>SUM(N49:N53)</f>
        <v>0</v>
      </c>
    </row>
    <row r="55" spans="1:15" hidden="1">
      <c r="A55" s="40">
        <v>1</v>
      </c>
      <c r="B55" s="39" t="s">
        <v>37</v>
      </c>
      <c r="C55" s="43"/>
      <c r="D55" s="43"/>
      <c r="E55" s="43"/>
      <c r="F55" s="40"/>
      <c r="G55" s="122"/>
      <c r="H55" s="40"/>
      <c r="I55" s="39"/>
      <c r="J55" s="39"/>
      <c r="K55" s="41"/>
      <c r="L55" s="42"/>
      <c r="M55" s="42"/>
      <c r="N55" s="42" t="s">
        <v>458</v>
      </c>
    </row>
    <row r="56" spans="1:15" hidden="1">
      <c r="A56" s="40"/>
      <c r="B56" s="39" t="s">
        <v>37</v>
      </c>
      <c r="C56" s="43"/>
      <c r="D56" s="43"/>
      <c r="E56" s="43"/>
      <c r="F56" s="40"/>
      <c r="G56" s="122"/>
      <c r="H56" s="122"/>
      <c r="I56" s="124"/>
      <c r="J56" s="39"/>
      <c r="K56" s="41"/>
      <c r="L56" s="42"/>
      <c r="M56" s="42"/>
      <c r="N56" s="42"/>
    </row>
    <row r="57" spans="1:15" hidden="1">
      <c r="A57" s="40"/>
      <c r="B57" s="39" t="s">
        <v>37</v>
      </c>
      <c r="C57" s="43"/>
      <c r="D57" s="43"/>
      <c r="E57" s="43"/>
      <c r="F57" s="40"/>
      <c r="G57" s="122"/>
      <c r="H57" s="122"/>
      <c r="I57" s="124"/>
      <c r="J57" s="39"/>
      <c r="K57" s="41"/>
      <c r="L57" s="42"/>
      <c r="M57" s="42"/>
      <c r="N57" s="42"/>
    </row>
    <row r="58" spans="1:15" hidden="1">
      <c r="A58" s="40"/>
      <c r="B58" s="39" t="s">
        <v>37</v>
      </c>
      <c r="C58" s="43"/>
      <c r="D58" s="43"/>
      <c r="E58" s="43"/>
      <c r="F58" s="40"/>
      <c r="G58" s="122"/>
      <c r="H58" s="40"/>
      <c r="I58" s="39"/>
      <c r="J58" s="39"/>
      <c r="K58" s="41"/>
      <c r="L58" s="42"/>
      <c r="M58" s="42"/>
      <c r="N58" s="42"/>
    </row>
    <row r="59" spans="1:15" hidden="1">
      <c r="A59" s="40"/>
      <c r="B59" s="39" t="s">
        <v>37</v>
      </c>
      <c r="C59" s="43"/>
      <c r="D59" s="43"/>
      <c r="E59" s="43"/>
      <c r="F59" s="40"/>
      <c r="G59" s="122"/>
      <c r="H59" s="40"/>
      <c r="I59" s="39"/>
      <c r="J59" s="39"/>
      <c r="K59" s="41"/>
      <c r="L59" s="42"/>
      <c r="M59" s="42"/>
      <c r="N59" s="42"/>
    </row>
    <row r="60" spans="1:15" hidden="1">
      <c r="A60" s="40">
        <v>2</v>
      </c>
      <c r="B60" s="39" t="s">
        <v>37</v>
      </c>
      <c r="C60" s="43"/>
      <c r="D60" s="43"/>
      <c r="E60" s="43"/>
      <c r="F60" s="40"/>
      <c r="G60" s="40"/>
      <c r="H60" s="40"/>
      <c r="I60" s="39"/>
      <c r="J60" s="39"/>
      <c r="K60" s="41"/>
      <c r="L60" s="42"/>
      <c r="M60" s="42"/>
      <c r="N60" s="42" t="s">
        <v>458</v>
      </c>
    </row>
    <row r="61" spans="1:15" hidden="1">
      <c r="A61" s="45"/>
      <c r="B61" s="46"/>
      <c r="C61" s="47"/>
      <c r="D61" s="47"/>
      <c r="E61" s="47"/>
      <c r="F61" s="45"/>
      <c r="G61" s="45"/>
      <c r="H61" s="45"/>
      <c r="I61" s="46" t="s">
        <v>14</v>
      </c>
      <c r="J61" s="46"/>
      <c r="K61" s="48"/>
      <c r="L61" s="49"/>
      <c r="M61" s="49">
        <f>SUM(M55:M60)</f>
        <v>0</v>
      </c>
      <c r="N61" s="46">
        <f>SUM(N55:N60)</f>
        <v>0</v>
      </c>
    </row>
    <row r="62" spans="1:15" ht="17.25" customHeight="1">
      <c r="A62" s="50"/>
      <c r="B62" s="51" t="s">
        <v>39</v>
      </c>
      <c r="C62" s="43" t="s">
        <v>562</v>
      </c>
      <c r="D62" s="43" t="s">
        <v>618</v>
      </c>
      <c r="E62" s="43">
        <v>2210</v>
      </c>
      <c r="F62" s="40"/>
      <c r="G62" s="122" t="s">
        <v>567</v>
      </c>
      <c r="H62" s="40" t="s">
        <v>572</v>
      </c>
      <c r="I62" s="39" t="s">
        <v>619</v>
      </c>
      <c r="J62" s="39" t="s">
        <v>12</v>
      </c>
      <c r="K62" s="41">
        <v>3</v>
      </c>
      <c r="L62" s="42">
        <v>8.1</v>
      </c>
      <c r="M62" s="42">
        <v>24.3</v>
      </c>
      <c r="N62" s="42" t="s">
        <v>458</v>
      </c>
      <c r="O62" s="42"/>
    </row>
    <row r="63" spans="1:15">
      <c r="A63" s="50">
        <v>1</v>
      </c>
      <c r="B63" s="51" t="s">
        <v>39</v>
      </c>
      <c r="C63" s="43" t="s">
        <v>562</v>
      </c>
      <c r="D63" s="43" t="s">
        <v>618</v>
      </c>
      <c r="E63" s="43">
        <v>2210</v>
      </c>
      <c r="F63" s="40"/>
      <c r="G63" s="122" t="s">
        <v>567</v>
      </c>
      <c r="H63" s="40" t="s">
        <v>572</v>
      </c>
      <c r="I63" s="39" t="s">
        <v>620</v>
      </c>
      <c r="J63" s="39" t="s">
        <v>12</v>
      </c>
      <c r="K63" s="41">
        <v>1</v>
      </c>
      <c r="L63" s="42">
        <v>4.45</v>
      </c>
      <c r="M63" s="42">
        <v>4.45</v>
      </c>
      <c r="N63" s="42" t="s">
        <v>458</v>
      </c>
    </row>
    <row r="64" spans="1:15" hidden="1">
      <c r="A64" s="50"/>
      <c r="B64" s="51" t="s">
        <v>39</v>
      </c>
      <c r="C64" s="43"/>
      <c r="D64" s="43"/>
      <c r="E64" s="43"/>
      <c r="F64" s="40"/>
      <c r="G64" s="40"/>
      <c r="H64" s="40"/>
      <c r="I64" s="39"/>
      <c r="J64" s="39"/>
      <c r="K64" s="41"/>
      <c r="L64" s="42"/>
      <c r="M64" s="42"/>
      <c r="N64" s="42"/>
    </row>
    <row r="65" spans="1:14" hidden="1">
      <c r="A65" s="50"/>
      <c r="B65" s="51" t="s">
        <v>39</v>
      </c>
      <c r="C65" s="43"/>
      <c r="D65" s="43"/>
      <c r="E65" s="43"/>
      <c r="F65" s="40"/>
      <c r="G65" s="40"/>
      <c r="H65" s="40"/>
      <c r="I65" s="39"/>
      <c r="J65" s="39"/>
      <c r="K65" s="41"/>
      <c r="L65" s="42"/>
      <c r="M65" s="42"/>
      <c r="N65" s="42"/>
    </row>
    <row r="66" spans="1:14" hidden="1">
      <c r="A66" s="50"/>
      <c r="B66" s="51" t="s">
        <v>39</v>
      </c>
      <c r="C66" s="43"/>
      <c r="D66" s="43"/>
      <c r="E66" s="43"/>
      <c r="F66" s="40"/>
      <c r="G66" s="40"/>
      <c r="H66" s="40"/>
      <c r="I66" s="39"/>
      <c r="J66" s="39"/>
      <c r="K66" s="41"/>
      <c r="L66" s="42"/>
      <c r="M66" s="42"/>
      <c r="N66" s="42"/>
    </row>
    <row r="67" spans="1:14" hidden="1">
      <c r="A67" s="50"/>
      <c r="B67" s="51" t="s">
        <v>39</v>
      </c>
      <c r="C67" s="43"/>
      <c r="D67" s="43"/>
      <c r="E67" s="43"/>
      <c r="F67" s="40"/>
      <c r="G67" s="40"/>
      <c r="H67" s="40"/>
      <c r="I67" s="39"/>
      <c r="J67" s="39"/>
      <c r="K67" s="41"/>
      <c r="L67" s="42"/>
      <c r="M67" s="42"/>
      <c r="N67" s="42" t="s">
        <v>458</v>
      </c>
    </row>
    <row r="68" spans="1:14">
      <c r="A68" s="45"/>
      <c r="B68" s="46"/>
      <c r="C68" s="47"/>
      <c r="D68" s="47"/>
      <c r="E68" s="47"/>
      <c r="F68" s="45"/>
      <c r="G68" s="45"/>
      <c r="H68" s="45"/>
      <c r="I68" s="46" t="s">
        <v>14</v>
      </c>
      <c r="J68" s="46"/>
      <c r="K68" s="48"/>
      <c r="L68" s="49"/>
      <c r="M68" s="49">
        <f>SUM(M62:M67)</f>
        <v>28.75</v>
      </c>
      <c r="N68" s="46"/>
    </row>
    <row r="69" spans="1:14" ht="48.75" hidden="1" customHeight="1">
      <c r="A69" s="50">
        <v>1</v>
      </c>
      <c r="B69" s="51" t="s">
        <v>42</v>
      </c>
      <c r="C69" s="43"/>
      <c r="D69" s="43"/>
      <c r="E69" s="43"/>
      <c r="F69" s="40"/>
      <c r="G69" s="122"/>
      <c r="H69" s="40"/>
      <c r="I69" s="39"/>
      <c r="J69" s="39"/>
      <c r="K69" s="41"/>
      <c r="L69" s="42"/>
      <c r="M69" s="42"/>
      <c r="N69" s="42" t="s">
        <v>458</v>
      </c>
    </row>
    <row r="70" spans="1:14" hidden="1">
      <c r="A70" s="50"/>
      <c r="B70" s="51"/>
      <c r="C70" s="43"/>
      <c r="D70" s="43"/>
      <c r="E70" s="43"/>
      <c r="F70" s="40"/>
      <c r="G70" s="122"/>
      <c r="H70" s="122"/>
      <c r="I70" s="124"/>
      <c r="J70" s="39"/>
      <c r="K70" s="41"/>
      <c r="L70" s="42"/>
      <c r="M70" s="42"/>
      <c r="N70" s="42" t="s">
        <v>458</v>
      </c>
    </row>
    <row r="71" spans="1:14" hidden="1">
      <c r="A71" s="50"/>
      <c r="B71" s="51"/>
      <c r="C71" s="43"/>
      <c r="D71" s="43"/>
      <c r="E71" s="43"/>
      <c r="F71" s="40"/>
      <c r="G71" s="122"/>
      <c r="H71" s="122"/>
      <c r="I71" s="124"/>
      <c r="J71" s="39"/>
      <c r="K71" s="41"/>
      <c r="L71" s="42"/>
      <c r="M71" s="42"/>
      <c r="N71" s="42" t="s">
        <v>458</v>
      </c>
    </row>
    <row r="72" spans="1:14" hidden="1">
      <c r="A72" s="45"/>
      <c r="B72" s="46"/>
      <c r="C72" s="47"/>
      <c r="D72" s="47"/>
      <c r="E72" s="47"/>
      <c r="F72" s="45"/>
      <c r="G72" s="45"/>
      <c r="H72" s="45"/>
      <c r="I72" s="46" t="s">
        <v>14</v>
      </c>
      <c r="J72" s="46"/>
      <c r="K72" s="48"/>
      <c r="L72" s="49"/>
      <c r="M72" s="49">
        <f>SUM(M69:M71)</f>
        <v>0</v>
      </c>
      <c r="N72" s="46"/>
    </row>
    <row r="73" spans="1:14">
      <c r="A73" s="50">
        <v>1</v>
      </c>
      <c r="B73" s="51" t="s">
        <v>83</v>
      </c>
      <c r="C73" s="43" t="s">
        <v>247</v>
      </c>
      <c r="D73" s="43" t="s">
        <v>333</v>
      </c>
      <c r="E73" s="43">
        <v>2210</v>
      </c>
      <c r="F73" s="40"/>
      <c r="G73" s="122" t="s">
        <v>567</v>
      </c>
      <c r="H73" s="40">
        <v>1113</v>
      </c>
      <c r="I73" s="39" t="s">
        <v>621</v>
      </c>
      <c r="J73" s="39" t="s">
        <v>12</v>
      </c>
      <c r="K73" s="41">
        <v>1</v>
      </c>
      <c r="L73" s="42">
        <v>10000</v>
      </c>
      <c r="M73" s="42">
        <v>10000</v>
      </c>
      <c r="N73" s="42" t="s">
        <v>458</v>
      </c>
    </row>
    <row r="74" spans="1:14">
      <c r="A74" s="50"/>
      <c r="B74" s="51" t="s">
        <v>83</v>
      </c>
      <c r="C74" s="43" t="s">
        <v>247</v>
      </c>
      <c r="D74" s="43" t="s">
        <v>333</v>
      </c>
      <c r="E74" s="43">
        <v>2210</v>
      </c>
      <c r="F74" s="40"/>
      <c r="G74" s="122" t="s">
        <v>567</v>
      </c>
      <c r="H74" s="40">
        <v>1113</v>
      </c>
      <c r="I74" s="39" t="s">
        <v>622</v>
      </c>
      <c r="J74" s="39" t="s">
        <v>12</v>
      </c>
      <c r="K74" s="41">
        <v>1</v>
      </c>
      <c r="L74" s="42">
        <v>4000</v>
      </c>
      <c r="M74" s="42">
        <v>4000</v>
      </c>
      <c r="N74" s="42"/>
    </row>
    <row r="75" spans="1:14" hidden="1">
      <c r="A75" s="50"/>
      <c r="B75" s="51"/>
      <c r="C75" s="43"/>
      <c r="D75" s="43"/>
      <c r="E75" s="43"/>
      <c r="F75" s="40"/>
      <c r="G75" s="122"/>
      <c r="H75" s="122"/>
      <c r="I75" s="124"/>
      <c r="J75" s="39"/>
      <c r="K75" s="41"/>
      <c r="L75" s="42"/>
      <c r="M75" s="42"/>
      <c r="N75" s="42"/>
    </row>
    <row r="76" spans="1:14" hidden="1">
      <c r="A76" s="50"/>
      <c r="B76" s="51"/>
      <c r="C76" s="43"/>
      <c r="D76" s="43"/>
      <c r="E76" s="43"/>
      <c r="F76" s="40"/>
      <c r="G76" s="122"/>
      <c r="H76" s="122"/>
      <c r="I76" s="124"/>
      <c r="J76" s="39"/>
      <c r="K76" s="41"/>
      <c r="L76" s="42"/>
      <c r="M76" s="42"/>
      <c r="N76" s="42"/>
    </row>
    <row r="77" spans="1:14" hidden="1">
      <c r="A77" s="50"/>
      <c r="B77" s="51"/>
      <c r="C77" s="43"/>
      <c r="D77" s="43"/>
      <c r="E77" s="43"/>
      <c r="F77" s="40"/>
      <c r="G77" s="40"/>
      <c r="H77" s="40"/>
      <c r="I77" s="39"/>
      <c r="J77" s="39"/>
      <c r="K77" s="41"/>
      <c r="L77" s="42"/>
      <c r="M77" s="42"/>
      <c r="N77" s="42" t="s">
        <v>458</v>
      </c>
    </row>
    <row r="78" spans="1:14" hidden="1">
      <c r="A78" s="50"/>
      <c r="B78" s="51"/>
      <c r="C78" s="43"/>
      <c r="D78" s="43"/>
      <c r="E78" s="43"/>
      <c r="F78" s="40"/>
      <c r="G78" s="40"/>
      <c r="H78" s="40"/>
      <c r="I78" s="39"/>
      <c r="J78" s="39"/>
      <c r="K78" s="41"/>
      <c r="L78" s="42"/>
      <c r="M78" s="42"/>
      <c r="N78" s="42" t="s">
        <v>458</v>
      </c>
    </row>
    <row r="79" spans="1:14">
      <c r="A79" s="45"/>
      <c r="B79" s="46"/>
      <c r="C79" s="47"/>
      <c r="D79" s="47"/>
      <c r="E79" s="47"/>
      <c r="F79" s="45"/>
      <c r="G79" s="45"/>
      <c r="H79" s="45"/>
      <c r="I79" s="46" t="s">
        <v>14</v>
      </c>
      <c r="J79" s="46"/>
      <c r="K79" s="48"/>
      <c r="L79" s="49"/>
      <c r="M79" s="49">
        <f>SUM(M73:M78)</f>
        <v>14000</v>
      </c>
      <c r="N79" s="46"/>
    </row>
    <row r="80" spans="1:14" hidden="1">
      <c r="A80" s="40">
        <v>1</v>
      </c>
      <c r="B80" s="39" t="s">
        <v>107</v>
      </c>
      <c r="C80" s="43"/>
      <c r="D80" s="43"/>
      <c r="E80" s="43"/>
      <c r="F80" s="40"/>
      <c r="G80" s="122"/>
      <c r="H80" s="40"/>
      <c r="I80" s="39"/>
      <c r="J80" s="39"/>
      <c r="K80" s="41"/>
      <c r="L80" s="42"/>
      <c r="M80" s="42"/>
      <c r="N80" s="39" t="s">
        <v>459</v>
      </c>
    </row>
    <row r="81" spans="1:14" hidden="1">
      <c r="A81" s="40"/>
      <c r="B81" s="39"/>
      <c r="C81" s="43"/>
      <c r="D81" s="43"/>
      <c r="E81" s="43"/>
      <c r="F81" s="40"/>
      <c r="G81" s="122"/>
      <c r="H81" s="122"/>
      <c r="I81" s="124"/>
      <c r="J81" s="39"/>
      <c r="K81" s="41"/>
      <c r="L81" s="42"/>
      <c r="M81" s="42"/>
      <c r="N81" s="39"/>
    </row>
    <row r="82" spans="1:14" hidden="1">
      <c r="A82" s="40"/>
      <c r="B82" s="39"/>
      <c r="C82" s="43"/>
      <c r="D82" s="43"/>
      <c r="E82" s="43"/>
      <c r="F82" s="40"/>
      <c r="G82" s="122"/>
      <c r="H82" s="122"/>
      <c r="I82" s="124"/>
      <c r="J82" s="39"/>
      <c r="K82" s="41"/>
      <c r="L82" s="42"/>
      <c r="M82" s="42"/>
      <c r="N82" s="39"/>
    </row>
    <row r="83" spans="1:14" hidden="1">
      <c r="A83" s="40"/>
      <c r="B83" s="39"/>
      <c r="C83" s="43"/>
      <c r="D83" s="43"/>
      <c r="E83" s="43"/>
      <c r="F83" s="40"/>
      <c r="G83" s="122"/>
      <c r="H83" s="40"/>
      <c r="I83" s="39"/>
      <c r="J83" s="39"/>
      <c r="K83" s="41"/>
      <c r="L83" s="42"/>
      <c r="M83" s="42"/>
      <c r="N83" s="39"/>
    </row>
    <row r="84" spans="1:14" hidden="1">
      <c r="A84" s="40"/>
      <c r="B84" s="39"/>
      <c r="C84" s="43"/>
      <c r="D84" s="43"/>
      <c r="E84" s="43"/>
      <c r="F84" s="40"/>
      <c r="G84" s="122"/>
      <c r="H84" s="40"/>
      <c r="I84" s="39"/>
      <c r="J84" s="39"/>
      <c r="K84" s="41"/>
      <c r="L84" s="42"/>
      <c r="M84" s="42"/>
      <c r="N84" s="39"/>
    </row>
    <row r="85" spans="1:14" hidden="1">
      <c r="A85" s="45"/>
      <c r="B85" s="46"/>
      <c r="C85" s="47"/>
      <c r="D85" s="47"/>
      <c r="E85" s="47"/>
      <c r="F85" s="45"/>
      <c r="G85" s="45"/>
      <c r="H85" s="45"/>
      <c r="I85" s="46" t="s">
        <v>14</v>
      </c>
      <c r="J85" s="46"/>
      <c r="K85" s="48"/>
      <c r="L85" s="49"/>
      <c r="M85" s="49">
        <f>SUM(M80:M84)</f>
        <v>0</v>
      </c>
      <c r="N85" s="46">
        <f>SUM(N80:N80)</f>
        <v>0</v>
      </c>
    </row>
    <row r="86" spans="1:14" hidden="1">
      <c r="A86" s="50">
        <v>1</v>
      </c>
      <c r="B86" s="51" t="s">
        <v>46</v>
      </c>
      <c r="C86" s="43"/>
      <c r="D86" s="43"/>
      <c r="E86" s="43"/>
      <c r="F86" s="40"/>
      <c r="G86" s="122"/>
      <c r="H86" s="40"/>
      <c r="I86" s="39"/>
      <c r="J86" s="39"/>
      <c r="K86" s="41"/>
      <c r="L86" s="42"/>
      <c r="M86" s="42"/>
      <c r="N86" s="42" t="s">
        <v>458</v>
      </c>
    </row>
    <row r="87" spans="1:14" hidden="1">
      <c r="A87" s="50"/>
      <c r="B87" s="51"/>
      <c r="C87" s="43"/>
      <c r="D87" s="43"/>
      <c r="E87" s="43"/>
      <c r="F87" s="40"/>
      <c r="G87" s="122"/>
      <c r="H87" s="40"/>
      <c r="I87" s="39"/>
      <c r="J87" s="39"/>
      <c r="K87" s="41"/>
      <c r="L87" s="42"/>
      <c r="M87" s="42"/>
      <c r="N87" s="42" t="s">
        <v>458</v>
      </c>
    </row>
    <row r="88" spans="1:14" hidden="1">
      <c r="A88" s="50"/>
      <c r="B88" s="51"/>
      <c r="C88" s="43"/>
      <c r="D88" s="43"/>
      <c r="E88" s="43"/>
      <c r="F88" s="40"/>
      <c r="G88" s="122"/>
      <c r="H88" s="122"/>
      <c r="I88" s="124"/>
      <c r="J88" s="39"/>
      <c r="K88" s="41"/>
      <c r="L88" s="42"/>
      <c r="M88" s="42"/>
      <c r="N88" s="42"/>
    </row>
    <row r="89" spans="1:14" hidden="1">
      <c r="A89" s="50"/>
      <c r="B89" s="51"/>
      <c r="C89" s="43"/>
      <c r="D89" s="43"/>
      <c r="E89" s="43"/>
      <c r="F89" s="40"/>
      <c r="G89" s="122"/>
      <c r="H89" s="122"/>
      <c r="I89" s="124"/>
      <c r="J89" s="39"/>
      <c r="K89" s="41"/>
      <c r="L89" s="42"/>
      <c r="M89" s="42"/>
      <c r="N89" s="42"/>
    </row>
    <row r="90" spans="1:14" hidden="1">
      <c r="A90" s="50"/>
      <c r="B90" s="51"/>
      <c r="C90" s="43"/>
      <c r="D90" s="43"/>
      <c r="E90" s="43"/>
      <c r="F90" s="40"/>
      <c r="G90" s="40"/>
      <c r="H90" s="40"/>
      <c r="I90" s="39"/>
      <c r="J90" s="39"/>
      <c r="K90" s="41"/>
      <c r="L90" s="42"/>
      <c r="M90" s="42"/>
      <c r="N90" s="42" t="s">
        <v>458</v>
      </c>
    </row>
    <row r="91" spans="1:14" hidden="1">
      <c r="A91" s="45"/>
      <c r="B91" s="46"/>
      <c r="C91" s="47"/>
      <c r="D91" s="47"/>
      <c r="E91" s="47"/>
      <c r="F91" s="45"/>
      <c r="G91" s="45"/>
      <c r="H91" s="45"/>
      <c r="I91" s="46" t="s">
        <v>14</v>
      </c>
      <c r="J91" s="46"/>
      <c r="K91" s="48"/>
      <c r="L91" s="49"/>
      <c r="M91" s="49">
        <f>SUM(M86:M90)</f>
        <v>0</v>
      </c>
      <c r="N91" s="46"/>
    </row>
    <row r="92" spans="1:14" hidden="1">
      <c r="A92" s="40">
        <v>1</v>
      </c>
      <c r="B92" s="39" t="s">
        <v>47</v>
      </c>
      <c r="C92" s="43"/>
      <c r="D92" s="43"/>
      <c r="E92" s="43"/>
      <c r="F92" s="40"/>
      <c r="G92" s="122"/>
      <c r="H92" s="40"/>
      <c r="I92" s="39"/>
      <c r="J92" s="39"/>
      <c r="K92" s="41"/>
      <c r="L92" s="42"/>
      <c r="M92" s="42"/>
      <c r="N92" s="42" t="s">
        <v>458</v>
      </c>
    </row>
    <row r="93" spans="1:14" hidden="1">
      <c r="A93" s="40">
        <v>2</v>
      </c>
      <c r="B93" s="39" t="s">
        <v>47</v>
      </c>
      <c r="C93" s="43"/>
      <c r="D93" s="43"/>
      <c r="E93" s="43"/>
      <c r="F93" s="40"/>
      <c r="G93" s="122"/>
      <c r="H93" s="122"/>
      <c r="I93" s="124"/>
      <c r="J93" s="39"/>
      <c r="K93" s="41"/>
      <c r="L93" s="42"/>
      <c r="M93" s="42"/>
      <c r="N93" s="42" t="s">
        <v>458</v>
      </c>
    </row>
    <row r="94" spans="1:14" hidden="1">
      <c r="A94" s="40">
        <v>3</v>
      </c>
      <c r="B94" s="39" t="s">
        <v>47</v>
      </c>
      <c r="C94" s="43"/>
      <c r="D94" s="43"/>
      <c r="E94" s="43"/>
      <c r="F94" s="40"/>
      <c r="G94" s="122"/>
      <c r="H94" s="122"/>
      <c r="I94" s="124"/>
      <c r="J94" s="39"/>
      <c r="K94" s="41"/>
      <c r="L94" s="42"/>
      <c r="M94" s="42"/>
      <c r="N94" s="42" t="s">
        <v>458</v>
      </c>
    </row>
    <row r="95" spans="1:14" hidden="1">
      <c r="A95" s="40">
        <v>4</v>
      </c>
      <c r="B95" s="39" t="s">
        <v>47</v>
      </c>
      <c r="C95" s="43"/>
      <c r="D95" s="92"/>
      <c r="E95" s="43"/>
      <c r="F95" s="40"/>
      <c r="G95" s="40"/>
      <c r="H95" s="40"/>
      <c r="I95" s="39"/>
      <c r="J95" s="39"/>
      <c r="K95" s="41"/>
      <c r="L95" s="42"/>
      <c r="M95" s="42"/>
      <c r="N95" s="42" t="s">
        <v>458</v>
      </c>
    </row>
    <row r="96" spans="1:14" hidden="1">
      <c r="A96" s="45"/>
      <c r="B96" s="46"/>
      <c r="C96" s="47"/>
      <c r="D96" s="47"/>
      <c r="E96" s="47"/>
      <c r="F96" s="45"/>
      <c r="G96" s="45"/>
      <c r="H96" s="45"/>
      <c r="I96" s="46" t="s">
        <v>14</v>
      </c>
      <c r="J96" s="46"/>
      <c r="K96" s="48"/>
      <c r="L96" s="49"/>
      <c r="M96" s="49">
        <f>SUM(M92:M95)</f>
        <v>0</v>
      </c>
      <c r="N96" s="46">
        <f>SUM(N92:N95)</f>
        <v>0</v>
      </c>
    </row>
    <row r="97" spans="1:14" hidden="1">
      <c r="A97" s="50">
        <v>1</v>
      </c>
      <c r="B97" s="51" t="s">
        <v>48</v>
      </c>
      <c r="C97" s="43"/>
      <c r="D97" s="43"/>
      <c r="E97" s="43"/>
      <c r="F97" s="40"/>
      <c r="G97" s="122"/>
      <c r="H97" s="40"/>
      <c r="I97" s="39"/>
      <c r="J97" s="39"/>
      <c r="K97" s="41"/>
      <c r="L97" s="42"/>
      <c r="M97" s="42"/>
      <c r="N97" s="42" t="s">
        <v>458</v>
      </c>
    </row>
    <row r="98" spans="1:14" hidden="1">
      <c r="A98" s="50"/>
      <c r="B98" s="51" t="s">
        <v>48</v>
      </c>
      <c r="C98" s="43"/>
      <c r="D98" s="43"/>
      <c r="E98" s="43"/>
      <c r="F98" s="40"/>
      <c r="G98" s="122"/>
      <c r="H98" s="122"/>
      <c r="I98" s="124"/>
      <c r="J98" s="39"/>
      <c r="K98" s="41"/>
      <c r="L98" s="42"/>
      <c r="M98" s="42"/>
      <c r="N98" s="42"/>
    </row>
    <row r="99" spans="1:14" hidden="1">
      <c r="A99" s="50"/>
      <c r="B99" s="51" t="s">
        <v>48</v>
      </c>
      <c r="C99" s="43"/>
      <c r="D99" s="43"/>
      <c r="E99" s="43"/>
      <c r="F99" s="40"/>
      <c r="G99" s="122"/>
      <c r="H99" s="122"/>
      <c r="I99" s="124"/>
      <c r="J99" s="39"/>
      <c r="K99" s="41"/>
      <c r="L99" s="42"/>
      <c r="M99" s="42"/>
      <c r="N99" s="42"/>
    </row>
    <row r="100" spans="1:14" hidden="1">
      <c r="A100" s="50"/>
      <c r="B100" s="51" t="s">
        <v>48</v>
      </c>
      <c r="C100" s="43"/>
      <c r="D100" s="43"/>
      <c r="E100" s="43"/>
      <c r="F100" s="40"/>
      <c r="G100" s="122"/>
      <c r="H100" s="40"/>
      <c r="I100" s="39"/>
      <c r="J100" s="39"/>
      <c r="K100" s="41"/>
      <c r="L100" s="42"/>
      <c r="M100" s="42"/>
      <c r="N100" s="42"/>
    </row>
    <row r="101" spans="1:14" hidden="1">
      <c r="A101" s="50"/>
      <c r="B101" s="51" t="s">
        <v>48</v>
      </c>
      <c r="C101" s="43"/>
      <c r="D101" s="43"/>
      <c r="E101" s="43"/>
      <c r="F101" s="40"/>
      <c r="G101" s="122"/>
      <c r="H101" s="40"/>
      <c r="I101" s="39"/>
      <c r="J101" s="39"/>
      <c r="K101" s="41"/>
      <c r="L101" s="42"/>
      <c r="M101" s="42"/>
      <c r="N101" s="42"/>
    </row>
    <row r="102" spans="1:14" hidden="1">
      <c r="A102" s="45"/>
      <c r="B102" s="46"/>
      <c r="C102" s="47"/>
      <c r="D102" s="47"/>
      <c r="E102" s="47"/>
      <c r="F102" s="45"/>
      <c r="G102" s="45"/>
      <c r="H102" s="45"/>
      <c r="I102" s="46" t="s">
        <v>14</v>
      </c>
      <c r="J102" s="46"/>
      <c r="K102" s="48"/>
      <c r="L102" s="49"/>
      <c r="M102" s="49">
        <f>SUM(M97:M101)</f>
        <v>0</v>
      </c>
      <c r="N102" s="46">
        <f>SUM(N97:N97)</f>
        <v>0</v>
      </c>
    </row>
    <row r="103" spans="1:14">
      <c r="A103" s="40">
        <v>1</v>
      </c>
      <c r="B103" s="39" t="s">
        <v>49</v>
      </c>
      <c r="C103" s="43" t="s">
        <v>562</v>
      </c>
      <c r="D103" s="43" t="s">
        <v>618</v>
      </c>
      <c r="E103" s="43">
        <v>2210</v>
      </c>
      <c r="F103" s="40"/>
      <c r="G103" s="122" t="s">
        <v>567</v>
      </c>
      <c r="H103" s="40" t="s">
        <v>572</v>
      </c>
      <c r="I103" s="39" t="s">
        <v>619</v>
      </c>
      <c r="J103" s="39" t="s">
        <v>12</v>
      </c>
      <c r="K103" s="41">
        <v>3</v>
      </c>
      <c r="L103" s="42">
        <v>8.1</v>
      </c>
      <c r="M103" s="42">
        <v>24.3</v>
      </c>
      <c r="N103" s="42" t="s">
        <v>458</v>
      </c>
    </row>
    <row r="104" spans="1:14">
      <c r="A104" s="40">
        <v>2</v>
      </c>
      <c r="B104" s="39" t="s">
        <v>49</v>
      </c>
      <c r="C104" s="43" t="s">
        <v>562</v>
      </c>
      <c r="D104" s="43" t="s">
        <v>618</v>
      </c>
      <c r="E104" s="43">
        <v>2210</v>
      </c>
      <c r="F104" s="40"/>
      <c r="G104" s="122" t="s">
        <v>567</v>
      </c>
      <c r="H104" s="40" t="s">
        <v>572</v>
      </c>
      <c r="I104" s="39" t="s">
        <v>620</v>
      </c>
      <c r="J104" s="39" t="s">
        <v>12</v>
      </c>
      <c r="K104" s="41">
        <v>1</v>
      </c>
      <c r="L104" s="42">
        <v>4.45</v>
      </c>
      <c r="M104" s="42">
        <v>4.45</v>
      </c>
      <c r="N104" s="42" t="s">
        <v>459</v>
      </c>
    </row>
    <row r="105" spans="1:14" hidden="1">
      <c r="A105" s="40">
        <v>3</v>
      </c>
      <c r="B105" s="39" t="s">
        <v>49</v>
      </c>
      <c r="C105" s="43"/>
      <c r="D105" s="43"/>
      <c r="E105" s="43"/>
      <c r="F105" s="40"/>
      <c r="G105" s="122"/>
      <c r="H105" s="40"/>
      <c r="I105" s="39"/>
      <c r="J105" s="39"/>
      <c r="K105" s="53"/>
      <c r="L105" s="52"/>
      <c r="M105" s="52"/>
      <c r="N105" s="42" t="s">
        <v>459</v>
      </c>
    </row>
    <row r="106" spans="1:14" hidden="1">
      <c r="A106" s="40">
        <v>4</v>
      </c>
      <c r="B106" s="39" t="s">
        <v>49</v>
      </c>
      <c r="C106" s="43"/>
      <c r="D106" s="43"/>
      <c r="E106" s="43"/>
      <c r="F106" s="40"/>
      <c r="G106" s="122"/>
      <c r="H106" s="40"/>
      <c r="I106" s="39"/>
      <c r="J106" s="39"/>
      <c r="K106" s="53"/>
      <c r="L106" s="52"/>
      <c r="M106" s="52"/>
      <c r="N106" s="42" t="s">
        <v>459</v>
      </c>
    </row>
    <row r="107" spans="1:14" hidden="1">
      <c r="A107" s="40">
        <v>5</v>
      </c>
      <c r="B107" s="39" t="s">
        <v>49</v>
      </c>
      <c r="C107" s="43"/>
      <c r="D107" s="43"/>
      <c r="E107" s="43"/>
      <c r="F107" s="40"/>
      <c r="G107" s="122"/>
      <c r="H107" s="40"/>
      <c r="I107" s="39"/>
      <c r="J107" s="39"/>
      <c r="K107" s="53"/>
      <c r="L107" s="52"/>
      <c r="M107" s="52"/>
      <c r="N107" s="42" t="s">
        <v>459</v>
      </c>
    </row>
    <row r="108" spans="1:14" hidden="1">
      <c r="A108" s="40">
        <v>6</v>
      </c>
      <c r="B108" s="39" t="s">
        <v>49</v>
      </c>
      <c r="C108" s="43"/>
      <c r="D108" s="43"/>
      <c r="E108" s="43"/>
      <c r="F108" s="40"/>
      <c r="G108" s="122"/>
      <c r="H108" s="40"/>
      <c r="I108" s="39"/>
      <c r="J108" s="39"/>
      <c r="K108" s="53"/>
      <c r="L108" s="52"/>
      <c r="M108" s="52"/>
      <c r="N108" s="42" t="s">
        <v>459</v>
      </c>
    </row>
    <row r="109" spans="1:14" hidden="1">
      <c r="A109" s="40"/>
      <c r="B109" s="39" t="s">
        <v>49</v>
      </c>
      <c r="C109" s="43"/>
      <c r="D109" s="43"/>
      <c r="E109" s="43"/>
      <c r="F109" s="40"/>
      <c r="G109" s="122"/>
      <c r="H109" s="40"/>
      <c r="I109" s="39"/>
      <c r="J109" s="39"/>
      <c r="K109" s="53"/>
      <c r="L109" s="52"/>
      <c r="M109" s="52"/>
      <c r="N109" s="42"/>
    </row>
    <row r="110" spans="1:14" hidden="1">
      <c r="A110" s="40">
        <v>7</v>
      </c>
      <c r="B110" s="39" t="s">
        <v>49</v>
      </c>
      <c r="C110" s="43"/>
      <c r="D110" s="43"/>
      <c r="E110" s="43"/>
      <c r="F110" s="40"/>
      <c r="G110" s="122"/>
      <c r="H110" s="40"/>
      <c r="I110" s="39"/>
      <c r="J110" s="39"/>
      <c r="K110" s="53"/>
      <c r="L110" s="52"/>
      <c r="M110" s="52"/>
      <c r="N110" s="42" t="s">
        <v>459</v>
      </c>
    </row>
    <row r="111" spans="1:14">
      <c r="A111" s="45"/>
      <c r="B111" s="46"/>
      <c r="C111" s="47"/>
      <c r="D111" s="47"/>
      <c r="E111" s="47"/>
      <c r="F111" s="45"/>
      <c r="G111" s="45"/>
      <c r="H111" s="45"/>
      <c r="I111" s="46" t="s">
        <v>14</v>
      </c>
      <c r="J111" s="46"/>
      <c r="K111" s="48"/>
      <c r="L111" s="49"/>
      <c r="M111" s="49">
        <f>SUM(M103:M110)</f>
        <v>28.75</v>
      </c>
      <c r="N111" s="46">
        <f>SUM(N103:N110)</f>
        <v>0</v>
      </c>
    </row>
    <row r="112" spans="1:14">
      <c r="A112" s="50">
        <v>1</v>
      </c>
      <c r="B112" s="51" t="s">
        <v>55</v>
      </c>
      <c r="C112" s="43" t="s">
        <v>247</v>
      </c>
      <c r="D112" s="43" t="s">
        <v>333</v>
      </c>
      <c r="E112" s="43">
        <v>2210</v>
      </c>
      <c r="F112" s="40"/>
      <c r="G112" s="122" t="s">
        <v>567</v>
      </c>
      <c r="H112" s="40" t="s">
        <v>11</v>
      </c>
      <c r="I112" s="39" t="s">
        <v>623</v>
      </c>
      <c r="J112" s="39" t="s">
        <v>12</v>
      </c>
      <c r="K112" s="41">
        <v>25</v>
      </c>
      <c r="L112" s="42">
        <v>330</v>
      </c>
      <c r="M112" s="42">
        <v>330</v>
      </c>
      <c r="N112" s="42" t="s">
        <v>458</v>
      </c>
    </row>
    <row r="113" spans="1:14">
      <c r="A113" s="50">
        <v>2</v>
      </c>
      <c r="B113" s="51" t="s">
        <v>55</v>
      </c>
      <c r="C113" s="43" t="s">
        <v>247</v>
      </c>
      <c r="D113" s="43" t="s">
        <v>333</v>
      </c>
      <c r="E113" s="43">
        <v>2210</v>
      </c>
      <c r="F113" s="40"/>
      <c r="G113" s="122" t="s">
        <v>567</v>
      </c>
      <c r="H113" s="40" t="s">
        <v>11</v>
      </c>
      <c r="I113" s="39" t="s">
        <v>624</v>
      </c>
      <c r="J113" s="39" t="s">
        <v>12</v>
      </c>
      <c r="K113" s="41">
        <v>125</v>
      </c>
      <c r="L113" s="42">
        <v>145</v>
      </c>
      <c r="M113" s="42">
        <v>725</v>
      </c>
      <c r="N113" s="42"/>
    </row>
    <row r="114" spans="1:14">
      <c r="A114" s="50">
        <v>3</v>
      </c>
      <c r="B114" s="51" t="s">
        <v>55</v>
      </c>
      <c r="C114" s="43" t="s">
        <v>247</v>
      </c>
      <c r="D114" s="43" t="s">
        <v>333</v>
      </c>
      <c r="E114" s="43">
        <v>2210</v>
      </c>
      <c r="F114" s="40"/>
      <c r="G114" s="122" t="s">
        <v>567</v>
      </c>
      <c r="H114" s="40" t="s">
        <v>11</v>
      </c>
      <c r="I114" s="124" t="s">
        <v>625</v>
      </c>
      <c r="J114" s="39" t="s">
        <v>628</v>
      </c>
      <c r="K114" s="41">
        <v>1</v>
      </c>
      <c r="L114" s="42">
        <v>135</v>
      </c>
      <c r="M114" s="42">
        <v>135</v>
      </c>
      <c r="N114" s="42"/>
    </row>
    <row r="115" spans="1:14">
      <c r="A115" s="50">
        <v>4</v>
      </c>
      <c r="B115" s="51" t="s">
        <v>55</v>
      </c>
      <c r="C115" s="43" t="s">
        <v>247</v>
      </c>
      <c r="D115" s="43" t="s">
        <v>333</v>
      </c>
      <c r="E115" s="43">
        <v>2210</v>
      </c>
      <c r="F115" s="40"/>
      <c r="G115" s="122" t="s">
        <v>567</v>
      </c>
      <c r="H115" s="40" t="s">
        <v>11</v>
      </c>
      <c r="I115" s="124" t="s">
        <v>626</v>
      </c>
      <c r="J115" s="39" t="s">
        <v>12</v>
      </c>
      <c r="K115" s="41">
        <v>5</v>
      </c>
      <c r="L115" s="42">
        <v>20</v>
      </c>
      <c r="M115" s="42">
        <v>100</v>
      </c>
      <c r="N115" s="42"/>
    </row>
    <row r="116" spans="1:14">
      <c r="A116" s="50">
        <v>5</v>
      </c>
      <c r="B116" s="51" t="s">
        <v>55</v>
      </c>
      <c r="C116" s="43" t="s">
        <v>247</v>
      </c>
      <c r="D116" s="43" t="s">
        <v>333</v>
      </c>
      <c r="E116" s="43">
        <v>2210</v>
      </c>
      <c r="F116" s="40"/>
      <c r="G116" s="122" t="s">
        <v>567</v>
      </c>
      <c r="H116" s="40" t="s">
        <v>11</v>
      </c>
      <c r="I116" s="39" t="s">
        <v>627</v>
      </c>
      <c r="J116" s="39" t="s">
        <v>12</v>
      </c>
      <c r="K116" s="41">
        <v>4</v>
      </c>
      <c r="L116" s="42">
        <v>50</v>
      </c>
      <c r="M116" s="42">
        <v>100</v>
      </c>
      <c r="N116" s="42"/>
    </row>
    <row r="117" spans="1:14">
      <c r="A117" s="45"/>
      <c r="B117" s="46"/>
      <c r="C117" s="47"/>
      <c r="D117" s="47"/>
      <c r="E117" s="47"/>
      <c r="F117" s="45"/>
      <c r="G117" s="45"/>
      <c r="H117" s="45"/>
      <c r="I117" s="46" t="s">
        <v>14</v>
      </c>
      <c r="J117" s="46"/>
      <c r="K117" s="48"/>
      <c r="L117" s="49"/>
      <c r="M117" s="49">
        <f>SUM(M112:N116)</f>
        <v>1390</v>
      </c>
      <c r="N117" s="46"/>
    </row>
    <row r="118" spans="1:14" s="57" customFormat="1">
      <c r="A118" s="50">
        <v>1</v>
      </c>
      <c r="B118" s="51" t="s">
        <v>168</v>
      </c>
      <c r="C118" s="43" t="s">
        <v>562</v>
      </c>
      <c r="D118" s="43" t="s">
        <v>618</v>
      </c>
      <c r="E118" s="43">
        <v>2210</v>
      </c>
      <c r="F118" s="40"/>
      <c r="G118" s="122" t="s">
        <v>567</v>
      </c>
      <c r="H118" s="40" t="s">
        <v>572</v>
      </c>
      <c r="I118" s="39" t="s">
        <v>619</v>
      </c>
      <c r="J118" s="39" t="s">
        <v>12</v>
      </c>
      <c r="K118" s="41">
        <v>3</v>
      </c>
      <c r="L118" s="42">
        <v>8.1</v>
      </c>
      <c r="M118" s="42">
        <v>24.3</v>
      </c>
      <c r="N118" s="42" t="s">
        <v>458</v>
      </c>
    </row>
    <row r="119" spans="1:14" s="57" customFormat="1">
      <c r="A119" s="50">
        <v>2</v>
      </c>
      <c r="B119" s="51" t="s">
        <v>168</v>
      </c>
      <c r="C119" s="43" t="s">
        <v>562</v>
      </c>
      <c r="D119" s="43" t="s">
        <v>618</v>
      </c>
      <c r="E119" s="43">
        <v>2210</v>
      </c>
      <c r="F119" s="40"/>
      <c r="G119" s="122" t="s">
        <v>567</v>
      </c>
      <c r="H119" s="40" t="s">
        <v>572</v>
      </c>
      <c r="I119" s="39" t="s">
        <v>620</v>
      </c>
      <c r="J119" s="39" t="s">
        <v>12</v>
      </c>
      <c r="K119" s="41">
        <v>1</v>
      </c>
      <c r="L119" s="42">
        <v>4.45</v>
      </c>
      <c r="M119" s="42">
        <v>4.45</v>
      </c>
      <c r="N119" s="42"/>
    </row>
    <row r="120" spans="1:14" s="57" customFormat="1" hidden="1">
      <c r="A120" s="50"/>
      <c r="B120" s="51"/>
      <c r="C120" s="43"/>
      <c r="D120" s="43"/>
      <c r="E120" s="43"/>
      <c r="F120" s="40"/>
      <c r="G120" s="122"/>
      <c r="H120" s="40"/>
      <c r="I120" s="39"/>
      <c r="J120" s="39"/>
      <c r="K120" s="41"/>
      <c r="L120" s="42"/>
      <c r="M120" s="42"/>
      <c r="N120" s="42"/>
    </row>
    <row r="121" spans="1:14" s="57" customFormat="1" hidden="1">
      <c r="A121" s="50"/>
      <c r="B121" s="51"/>
      <c r="C121" s="43"/>
      <c r="D121" s="43"/>
      <c r="E121" s="43"/>
      <c r="F121" s="40"/>
      <c r="G121" s="122"/>
      <c r="H121" s="40"/>
      <c r="I121" s="39"/>
      <c r="J121" s="39"/>
      <c r="K121" s="41"/>
      <c r="L121" s="42"/>
      <c r="M121" s="42"/>
      <c r="N121" s="42"/>
    </row>
    <row r="122" spans="1:14" s="57" customFormat="1" hidden="1">
      <c r="A122" s="50"/>
      <c r="B122" s="51"/>
      <c r="C122" s="43"/>
      <c r="D122" s="43"/>
      <c r="E122" s="43"/>
      <c r="F122" s="40"/>
      <c r="G122" s="122"/>
      <c r="H122" s="40"/>
      <c r="I122" s="39"/>
      <c r="J122" s="39"/>
      <c r="K122" s="41"/>
      <c r="L122" s="42"/>
      <c r="M122" s="42"/>
      <c r="N122" s="42"/>
    </row>
    <row r="123" spans="1:14">
      <c r="A123" s="45"/>
      <c r="B123" s="46"/>
      <c r="C123" s="47"/>
      <c r="D123" s="47"/>
      <c r="E123" s="47"/>
      <c r="F123" s="45"/>
      <c r="G123" s="45"/>
      <c r="H123" s="45"/>
      <c r="I123" s="46" t="s">
        <v>14</v>
      </c>
      <c r="J123" s="46"/>
      <c r="K123" s="48"/>
      <c r="L123" s="49"/>
      <c r="M123" s="49">
        <f>SUM(M118:M122)</f>
        <v>28.75</v>
      </c>
      <c r="N123" s="46"/>
    </row>
    <row r="124" spans="1:14" hidden="1">
      <c r="A124" s="40">
        <v>1</v>
      </c>
      <c r="B124" s="39" t="s">
        <v>51</v>
      </c>
      <c r="C124" s="43"/>
      <c r="D124" s="43"/>
      <c r="E124" s="43"/>
      <c r="F124" s="40"/>
      <c r="G124" s="122"/>
      <c r="H124" s="40"/>
      <c r="I124" s="39"/>
      <c r="J124" s="39"/>
      <c r="K124" s="41"/>
      <c r="L124" s="42"/>
      <c r="M124" s="42"/>
      <c r="N124" s="39"/>
    </row>
    <row r="125" spans="1:14" hidden="1">
      <c r="A125" s="40"/>
      <c r="B125" s="39"/>
      <c r="C125" s="43"/>
      <c r="D125" s="43"/>
      <c r="E125" s="43"/>
      <c r="F125" s="40"/>
      <c r="G125" s="122"/>
      <c r="H125" s="40"/>
      <c r="I125" s="39"/>
      <c r="J125" s="39"/>
      <c r="K125" s="41"/>
      <c r="L125" s="42"/>
      <c r="M125" s="42"/>
      <c r="N125" s="39"/>
    </row>
    <row r="126" spans="1:14" hidden="1">
      <c r="A126" s="40"/>
      <c r="B126" s="39"/>
      <c r="C126" s="43"/>
      <c r="D126" s="43"/>
      <c r="E126" s="43"/>
      <c r="F126" s="40"/>
      <c r="G126" s="122"/>
      <c r="H126" s="40"/>
      <c r="I126" s="39"/>
      <c r="J126" s="39"/>
      <c r="K126" s="41"/>
      <c r="L126" s="42"/>
      <c r="M126" s="42"/>
      <c r="N126" s="39"/>
    </row>
    <row r="127" spans="1:14" hidden="1">
      <c r="A127" s="40"/>
      <c r="B127" s="39"/>
      <c r="C127" s="43"/>
      <c r="D127" s="43"/>
      <c r="E127" s="43"/>
      <c r="F127" s="40"/>
      <c r="G127" s="122"/>
      <c r="H127" s="122"/>
      <c r="I127" s="124"/>
      <c r="J127" s="39"/>
      <c r="K127" s="41"/>
      <c r="L127" s="42"/>
      <c r="M127" s="42"/>
      <c r="N127" s="39"/>
    </row>
    <row r="128" spans="1:14" hidden="1">
      <c r="A128" s="40"/>
      <c r="B128" s="39"/>
      <c r="C128" s="43"/>
      <c r="D128" s="43"/>
      <c r="E128" s="43"/>
      <c r="F128" s="40"/>
      <c r="G128" s="122"/>
      <c r="H128" s="122"/>
      <c r="I128" s="124"/>
      <c r="J128" s="39"/>
      <c r="K128" s="41"/>
      <c r="L128" s="42"/>
      <c r="M128" s="42"/>
      <c r="N128" s="39"/>
    </row>
    <row r="129" spans="1:14" hidden="1">
      <c r="A129" s="45"/>
      <c r="B129" s="46"/>
      <c r="C129" s="47"/>
      <c r="D129" s="47"/>
      <c r="E129" s="47"/>
      <c r="F129" s="45"/>
      <c r="G129" s="45"/>
      <c r="H129" s="45"/>
      <c r="I129" s="46" t="s">
        <v>14</v>
      </c>
      <c r="J129" s="46"/>
      <c r="K129" s="48"/>
      <c r="L129" s="49"/>
      <c r="M129" s="49">
        <f>SUM(M124:M128)</f>
        <v>0</v>
      </c>
      <c r="N129" s="46">
        <f>SUM(N124:N124)</f>
        <v>0</v>
      </c>
    </row>
    <row r="130" spans="1:14" hidden="1">
      <c r="A130" s="50">
        <v>1</v>
      </c>
      <c r="B130" s="51" t="s">
        <v>52</v>
      </c>
      <c r="C130" s="43"/>
      <c r="D130" s="43"/>
      <c r="E130" s="43"/>
      <c r="F130" s="40"/>
      <c r="G130" s="122"/>
      <c r="H130" s="40"/>
      <c r="I130" s="39"/>
      <c r="J130" s="39"/>
      <c r="K130" s="41"/>
      <c r="L130" s="42"/>
      <c r="M130" s="42"/>
      <c r="N130" s="42" t="s">
        <v>458</v>
      </c>
    </row>
    <row r="131" spans="1:14" hidden="1">
      <c r="A131" s="50">
        <v>2</v>
      </c>
      <c r="B131" s="51" t="s">
        <v>52</v>
      </c>
      <c r="C131" s="43"/>
      <c r="D131" s="43"/>
      <c r="E131" s="43"/>
      <c r="F131" s="40"/>
      <c r="G131" s="122"/>
      <c r="H131" s="40"/>
      <c r="I131" s="39"/>
      <c r="J131" s="39"/>
      <c r="K131" s="41"/>
      <c r="L131" s="42"/>
      <c r="M131" s="42"/>
      <c r="N131" s="42" t="s">
        <v>458</v>
      </c>
    </row>
    <row r="132" spans="1:14" hidden="1">
      <c r="A132" s="50">
        <v>3</v>
      </c>
      <c r="B132" s="51" t="s">
        <v>52</v>
      </c>
      <c r="C132" s="43"/>
      <c r="D132" s="43"/>
      <c r="E132" s="43"/>
      <c r="F132" s="40"/>
      <c r="G132" s="122"/>
      <c r="H132" s="122"/>
      <c r="I132" s="124"/>
      <c r="J132" s="39"/>
      <c r="K132" s="41"/>
      <c r="L132" s="42"/>
      <c r="M132" s="42"/>
      <c r="N132" s="42" t="s">
        <v>458</v>
      </c>
    </row>
    <row r="133" spans="1:14" hidden="1">
      <c r="A133" s="50">
        <v>4</v>
      </c>
      <c r="B133" s="51" t="s">
        <v>52</v>
      </c>
      <c r="C133" s="43"/>
      <c r="D133" s="43"/>
      <c r="E133" s="43"/>
      <c r="F133" s="40"/>
      <c r="G133" s="122"/>
      <c r="H133" s="122"/>
      <c r="I133" s="124"/>
      <c r="J133" s="39"/>
      <c r="K133" s="41"/>
      <c r="L133" s="42"/>
      <c r="M133" s="42"/>
      <c r="N133" s="42" t="s">
        <v>458</v>
      </c>
    </row>
    <row r="134" spans="1:14" hidden="1">
      <c r="A134" s="45"/>
      <c r="B134" s="46"/>
      <c r="C134" s="47"/>
      <c r="D134" s="47"/>
      <c r="E134" s="47"/>
      <c r="F134" s="45"/>
      <c r="G134" s="45"/>
      <c r="H134" s="45"/>
      <c r="I134" s="46" t="s">
        <v>14</v>
      </c>
      <c r="J134" s="46"/>
      <c r="K134" s="48"/>
      <c r="L134" s="49"/>
      <c r="M134" s="49">
        <f>SUM(M130:M133)</f>
        <v>0</v>
      </c>
      <c r="N134" s="46">
        <f>SUM(N130:N133)</f>
        <v>0</v>
      </c>
    </row>
    <row r="135" spans="1:14">
      <c r="A135" s="50">
        <v>1</v>
      </c>
      <c r="B135" s="51" t="s">
        <v>84</v>
      </c>
      <c r="C135" s="43" t="s">
        <v>562</v>
      </c>
      <c r="D135" s="43" t="s">
        <v>618</v>
      </c>
      <c r="E135" s="43">
        <v>2210</v>
      </c>
      <c r="F135" s="40"/>
      <c r="G135" s="122" t="s">
        <v>567</v>
      </c>
      <c r="H135" s="40" t="s">
        <v>572</v>
      </c>
      <c r="I135" s="39" t="s">
        <v>619</v>
      </c>
      <c r="J135" s="39" t="s">
        <v>12</v>
      </c>
      <c r="K135" s="41">
        <v>3</v>
      </c>
      <c r="L135" s="42">
        <v>8.1</v>
      </c>
      <c r="M135" s="42">
        <v>24.3</v>
      </c>
      <c r="N135" s="42" t="s">
        <v>458</v>
      </c>
    </row>
    <row r="136" spans="1:14">
      <c r="A136" s="50">
        <v>2</v>
      </c>
      <c r="B136" s="51" t="s">
        <v>84</v>
      </c>
      <c r="C136" s="43" t="s">
        <v>562</v>
      </c>
      <c r="D136" s="43" t="s">
        <v>618</v>
      </c>
      <c r="E136" s="43">
        <v>2210</v>
      </c>
      <c r="F136" s="40"/>
      <c r="G136" s="122" t="s">
        <v>567</v>
      </c>
      <c r="H136" s="40" t="s">
        <v>572</v>
      </c>
      <c r="I136" s="39" t="s">
        <v>620</v>
      </c>
      <c r="J136" s="39" t="s">
        <v>12</v>
      </c>
      <c r="K136" s="41">
        <v>1</v>
      </c>
      <c r="L136" s="42">
        <v>4.45</v>
      </c>
      <c r="M136" s="42">
        <v>4.45</v>
      </c>
      <c r="N136" s="42" t="s">
        <v>458</v>
      </c>
    </row>
    <row r="137" spans="1:14" hidden="1">
      <c r="A137" s="50"/>
      <c r="B137" s="51"/>
      <c r="C137" s="43"/>
      <c r="D137" s="43"/>
      <c r="E137" s="43"/>
      <c r="F137" s="40"/>
      <c r="G137" s="40"/>
      <c r="H137" s="40"/>
      <c r="I137" s="39"/>
      <c r="J137" s="39"/>
      <c r="K137" s="41"/>
      <c r="L137" s="42"/>
      <c r="M137" s="42"/>
      <c r="N137" s="42"/>
    </row>
    <row r="138" spans="1:14" hidden="1">
      <c r="A138" s="50"/>
      <c r="B138" s="51"/>
      <c r="C138" s="43"/>
      <c r="D138" s="43"/>
      <c r="E138" s="43"/>
      <c r="F138" s="40"/>
      <c r="G138" s="40"/>
      <c r="H138" s="40"/>
      <c r="I138" s="39"/>
      <c r="J138" s="39"/>
      <c r="K138" s="41"/>
      <c r="L138" s="42"/>
      <c r="M138" s="42"/>
      <c r="N138" s="42"/>
    </row>
    <row r="139" spans="1:14" hidden="1">
      <c r="A139" s="50"/>
      <c r="B139" s="51"/>
      <c r="C139" s="43"/>
      <c r="D139" s="43"/>
      <c r="E139" s="43"/>
      <c r="F139" s="40"/>
      <c r="G139" s="40"/>
      <c r="H139" s="40"/>
      <c r="I139" s="39"/>
      <c r="J139" s="39"/>
      <c r="K139" s="41"/>
      <c r="L139" s="42"/>
      <c r="M139" s="42"/>
      <c r="N139" s="42"/>
    </row>
    <row r="140" spans="1:14" hidden="1">
      <c r="A140" s="50"/>
      <c r="B140" s="51" t="s">
        <v>84</v>
      </c>
      <c r="C140" s="43"/>
      <c r="D140" s="43"/>
      <c r="E140" s="43"/>
      <c r="F140" s="40"/>
      <c r="G140" s="40"/>
      <c r="H140" s="40"/>
      <c r="I140" s="39"/>
      <c r="J140" s="39"/>
      <c r="K140" s="41"/>
      <c r="L140" s="42"/>
      <c r="M140" s="42"/>
      <c r="N140" s="42" t="s">
        <v>458</v>
      </c>
    </row>
    <row r="141" spans="1:14">
      <c r="A141" s="45"/>
      <c r="B141" s="46"/>
      <c r="C141" s="47"/>
      <c r="D141" s="47"/>
      <c r="E141" s="47"/>
      <c r="F141" s="45"/>
      <c r="G141" s="45"/>
      <c r="H141" s="45"/>
      <c r="I141" s="46" t="s">
        <v>14</v>
      </c>
      <c r="J141" s="46"/>
      <c r="K141" s="48"/>
      <c r="L141" s="49"/>
      <c r="M141" s="49">
        <f>SUM(M135:M140)</f>
        <v>28.75</v>
      </c>
      <c r="N141" s="46">
        <f>SUM(N135:N140)</f>
        <v>0</v>
      </c>
    </row>
    <row r="142" spans="1:14">
      <c r="A142" s="40">
        <v>1</v>
      </c>
      <c r="B142" s="39" t="s">
        <v>53</v>
      </c>
      <c r="C142" s="43" t="s">
        <v>629</v>
      </c>
      <c r="D142" s="43" t="s">
        <v>629</v>
      </c>
      <c r="E142" s="43">
        <v>2210</v>
      </c>
      <c r="F142" s="40"/>
      <c r="G142" s="122" t="s">
        <v>567</v>
      </c>
      <c r="H142" s="40">
        <v>1114</v>
      </c>
      <c r="I142" s="39" t="s">
        <v>630</v>
      </c>
      <c r="J142" s="39" t="s">
        <v>12</v>
      </c>
      <c r="K142" s="41">
        <v>100</v>
      </c>
      <c r="L142" s="42">
        <v>25</v>
      </c>
      <c r="M142" s="42">
        <v>2500</v>
      </c>
      <c r="N142" s="42" t="s">
        <v>458</v>
      </c>
    </row>
    <row r="143" spans="1:14">
      <c r="A143" s="40">
        <v>2</v>
      </c>
      <c r="B143" s="39" t="s">
        <v>53</v>
      </c>
      <c r="C143" s="43" t="s">
        <v>629</v>
      </c>
      <c r="D143" s="43" t="s">
        <v>629</v>
      </c>
      <c r="E143" s="43">
        <v>2210</v>
      </c>
      <c r="F143" s="40"/>
      <c r="G143" s="122" t="s">
        <v>567</v>
      </c>
      <c r="H143" s="40">
        <v>1114</v>
      </c>
      <c r="I143" s="39" t="s">
        <v>631</v>
      </c>
      <c r="J143" s="39" t="s">
        <v>12</v>
      </c>
      <c r="K143" s="41">
        <v>166</v>
      </c>
      <c r="L143" s="42">
        <v>15</v>
      </c>
      <c r="M143" s="42">
        <v>2490</v>
      </c>
      <c r="N143" s="42" t="s">
        <v>458</v>
      </c>
    </row>
    <row r="144" spans="1:14">
      <c r="A144" s="40">
        <v>3</v>
      </c>
      <c r="B144" s="39" t="s">
        <v>53</v>
      </c>
      <c r="C144" s="43" t="s">
        <v>629</v>
      </c>
      <c r="D144" s="43" t="s">
        <v>629</v>
      </c>
      <c r="E144" s="43">
        <v>2210</v>
      </c>
      <c r="F144" s="40"/>
      <c r="G144" s="122" t="s">
        <v>567</v>
      </c>
      <c r="H144" s="40">
        <v>1114</v>
      </c>
      <c r="I144" s="124" t="s">
        <v>632</v>
      </c>
      <c r="J144" s="39" t="s">
        <v>12</v>
      </c>
      <c r="K144" s="41">
        <v>160</v>
      </c>
      <c r="L144" s="42">
        <v>5</v>
      </c>
      <c r="M144" s="42">
        <v>800</v>
      </c>
      <c r="N144" s="42" t="s">
        <v>458</v>
      </c>
    </row>
    <row r="145" spans="1:15">
      <c r="A145" s="40">
        <v>4</v>
      </c>
      <c r="B145" s="39" t="s">
        <v>53</v>
      </c>
      <c r="C145" s="43" t="s">
        <v>629</v>
      </c>
      <c r="D145" s="43" t="s">
        <v>629</v>
      </c>
      <c r="E145" s="43">
        <v>2210</v>
      </c>
      <c r="F145" s="40"/>
      <c r="G145" s="122" t="s">
        <v>567</v>
      </c>
      <c r="H145" s="40">
        <v>1114</v>
      </c>
      <c r="I145" s="124" t="s">
        <v>74</v>
      </c>
      <c r="J145" s="39" t="s">
        <v>12</v>
      </c>
      <c r="K145" s="41">
        <v>395</v>
      </c>
      <c r="L145" s="42">
        <v>10</v>
      </c>
      <c r="M145" s="42">
        <v>3950</v>
      </c>
      <c r="N145" s="42" t="s">
        <v>458</v>
      </c>
    </row>
    <row r="146" spans="1:15">
      <c r="A146" s="40">
        <v>5</v>
      </c>
      <c r="B146" s="39" t="s">
        <v>53</v>
      </c>
      <c r="C146" s="43" t="s">
        <v>629</v>
      </c>
      <c r="D146" s="43" t="s">
        <v>629</v>
      </c>
      <c r="E146" s="43">
        <v>2210</v>
      </c>
      <c r="F146" s="40"/>
      <c r="G146" s="122" t="s">
        <v>567</v>
      </c>
      <c r="H146" s="40">
        <v>1114</v>
      </c>
      <c r="I146" s="43" t="s">
        <v>633</v>
      </c>
      <c r="J146" s="39" t="s">
        <v>12</v>
      </c>
      <c r="K146" s="41">
        <v>414</v>
      </c>
      <c r="L146" s="42">
        <v>2</v>
      </c>
      <c r="M146" s="42">
        <v>828</v>
      </c>
      <c r="N146" s="42" t="s">
        <v>458</v>
      </c>
    </row>
    <row r="147" spans="1:15">
      <c r="A147" s="40">
        <v>6</v>
      </c>
      <c r="B147" s="39" t="s">
        <v>53</v>
      </c>
      <c r="C147" s="43" t="s">
        <v>629</v>
      </c>
      <c r="D147" s="43" t="s">
        <v>629</v>
      </c>
      <c r="E147" s="43">
        <v>2210</v>
      </c>
      <c r="F147" s="40"/>
      <c r="G147" s="122" t="s">
        <v>567</v>
      </c>
      <c r="H147" s="40">
        <v>1114</v>
      </c>
      <c r="I147" s="43" t="s">
        <v>634</v>
      </c>
      <c r="J147" s="39" t="s">
        <v>12</v>
      </c>
      <c r="K147" s="41">
        <v>306</v>
      </c>
      <c r="L147" s="42">
        <v>5</v>
      </c>
      <c r="M147" s="42">
        <v>1530</v>
      </c>
      <c r="N147" s="42" t="s">
        <v>458</v>
      </c>
    </row>
    <row r="148" spans="1:15">
      <c r="A148" s="45"/>
      <c r="B148" s="46"/>
      <c r="C148" s="47"/>
      <c r="D148" s="47"/>
      <c r="E148" s="47"/>
      <c r="F148" s="45"/>
      <c r="G148" s="45"/>
      <c r="H148" s="45"/>
      <c r="I148" s="46" t="s">
        <v>14</v>
      </c>
      <c r="J148" s="46"/>
      <c r="K148" s="48"/>
      <c r="L148" s="49"/>
      <c r="M148" s="49">
        <f>SUM(M142:M147)</f>
        <v>12098</v>
      </c>
      <c r="N148" s="46">
        <f>SUM(N142:N147)</f>
        <v>0</v>
      </c>
    </row>
    <row r="149" spans="1:15" hidden="1">
      <c r="A149" s="50"/>
      <c r="B149" s="51"/>
      <c r="C149" s="43"/>
      <c r="D149" s="43"/>
      <c r="E149" s="43"/>
      <c r="F149" s="40"/>
      <c r="G149" s="122"/>
      <c r="H149" s="122"/>
      <c r="I149" s="43"/>
      <c r="J149" s="39"/>
      <c r="K149" s="41"/>
      <c r="L149" s="42"/>
      <c r="M149" s="42"/>
      <c r="N149" s="42" t="s">
        <v>458</v>
      </c>
    </row>
    <row r="150" spans="1:15" hidden="1">
      <c r="A150" s="50"/>
      <c r="B150" s="51"/>
      <c r="C150" s="43"/>
      <c r="D150" s="43"/>
      <c r="E150" s="43"/>
      <c r="F150" s="40"/>
      <c r="G150" s="122"/>
      <c r="H150" s="122"/>
      <c r="I150" s="124"/>
      <c r="J150" s="39"/>
      <c r="K150" s="41"/>
      <c r="L150" s="42"/>
      <c r="M150" s="42"/>
      <c r="N150" s="42" t="s">
        <v>458</v>
      </c>
    </row>
    <row r="151" spans="1:15" hidden="1">
      <c r="A151" s="50"/>
      <c r="B151" s="51"/>
      <c r="C151" s="43"/>
      <c r="D151" s="43"/>
      <c r="E151" s="43"/>
      <c r="F151" s="40"/>
      <c r="G151" s="40"/>
      <c r="H151" s="40"/>
      <c r="I151" s="39"/>
      <c r="J151" s="39"/>
      <c r="K151" s="41"/>
      <c r="L151" s="42"/>
      <c r="M151" s="42"/>
      <c r="N151" s="42" t="s">
        <v>458</v>
      </c>
    </row>
    <row r="152" spans="1:15" hidden="1">
      <c r="A152" s="45"/>
      <c r="B152" s="46"/>
      <c r="C152" s="47"/>
      <c r="D152" s="47"/>
      <c r="E152" s="47"/>
      <c r="F152" s="45"/>
      <c r="G152" s="45"/>
      <c r="H152" s="45"/>
      <c r="I152" s="46" t="s">
        <v>14</v>
      </c>
      <c r="J152" s="46"/>
      <c r="K152" s="48"/>
      <c r="L152" s="49"/>
      <c r="M152" s="49">
        <f>SUM(M149:M151)</f>
        <v>0</v>
      </c>
      <c r="N152" s="46"/>
      <c r="O152" s="44"/>
    </row>
    <row r="153" spans="1:15" ht="46.5" hidden="1" customHeight="1">
      <c r="A153" s="50"/>
      <c r="B153" s="51" t="s">
        <v>54</v>
      </c>
      <c r="C153" s="43"/>
      <c r="D153" s="43"/>
      <c r="E153" s="43"/>
      <c r="F153" s="40"/>
      <c r="G153" s="122"/>
      <c r="H153" s="40"/>
      <c r="I153" s="39"/>
      <c r="J153" s="39"/>
      <c r="K153" s="41"/>
      <c r="L153" s="42"/>
      <c r="M153" s="42"/>
      <c r="N153" s="46"/>
      <c r="O153" s="44"/>
    </row>
    <row r="154" spans="1:15" hidden="1">
      <c r="A154" s="50"/>
      <c r="B154" s="51"/>
      <c r="C154" s="43"/>
      <c r="D154" s="43"/>
      <c r="E154" s="43"/>
      <c r="F154" s="40"/>
      <c r="G154" s="122"/>
      <c r="H154" s="122"/>
      <c r="I154" s="124"/>
      <c r="J154" s="39"/>
      <c r="K154" s="41"/>
      <c r="L154" s="42"/>
      <c r="M154" s="42"/>
      <c r="N154" s="46"/>
      <c r="O154" s="44"/>
    </row>
    <row r="155" spans="1:15" hidden="1">
      <c r="A155" s="50"/>
      <c r="B155" s="51"/>
      <c r="C155" s="43"/>
      <c r="D155" s="43"/>
      <c r="E155" s="43"/>
      <c r="F155" s="40"/>
      <c r="G155" s="122"/>
      <c r="H155" s="122"/>
      <c r="I155" s="124"/>
      <c r="J155" s="39"/>
      <c r="K155" s="41"/>
      <c r="L155" s="42"/>
      <c r="M155" s="42"/>
      <c r="N155" s="46"/>
      <c r="O155" s="44"/>
    </row>
    <row r="156" spans="1:15" hidden="1">
      <c r="A156" s="45"/>
      <c r="B156" s="46"/>
      <c r="C156" s="47"/>
      <c r="D156" s="47"/>
      <c r="E156" s="47"/>
      <c r="F156" s="45"/>
      <c r="G156" s="45"/>
      <c r="H156" s="45"/>
      <c r="I156" s="46"/>
      <c r="J156" s="46"/>
      <c r="K156" s="48"/>
      <c r="L156" s="49"/>
      <c r="M156" s="49">
        <f>SUM(M153:M155)</f>
        <v>0</v>
      </c>
      <c r="N156" s="46"/>
      <c r="O156" s="44"/>
    </row>
    <row r="157" spans="1:15">
      <c r="A157" s="180" t="s">
        <v>641</v>
      </c>
      <c r="B157" s="181"/>
      <c r="C157" s="58"/>
      <c r="D157" s="58"/>
      <c r="E157" s="58"/>
      <c r="F157" s="59"/>
      <c r="G157" s="59"/>
      <c r="H157" s="59"/>
      <c r="I157" s="58"/>
      <c r="J157" s="58"/>
      <c r="K157" s="60"/>
      <c r="L157" s="61"/>
      <c r="M157" s="61">
        <f>M152+M148+M141+M134+M129+M123+M117+M111+M102+M96+M91+M85+M79+M72+M68+M61+M54+M48+M33+M28+M23+M18+M14+M156</f>
        <v>38291.199999999997</v>
      </c>
      <c r="N157" s="58"/>
      <c r="O157" s="44"/>
    </row>
    <row r="158" spans="1:15" ht="47.25" customHeight="1">
      <c r="A158" s="50">
        <v>1</v>
      </c>
      <c r="B158" s="51" t="s">
        <v>113</v>
      </c>
      <c r="C158" s="43" t="s">
        <v>562</v>
      </c>
      <c r="D158" s="43" t="s">
        <v>638</v>
      </c>
      <c r="E158" s="43">
        <v>2210</v>
      </c>
      <c r="F158" s="40"/>
      <c r="G158" s="122" t="s">
        <v>636</v>
      </c>
      <c r="H158" s="122" t="s">
        <v>637</v>
      </c>
      <c r="I158" s="43" t="s">
        <v>635</v>
      </c>
      <c r="J158" s="39" t="s">
        <v>12</v>
      </c>
      <c r="K158" s="41">
        <v>1</v>
      </c>
      <c r="L158" s="42">
        <v>4722</v>
      </c>
      <c r="M158" s="42">
        <v>4722</v>
      </c>
      <c r="N158" s="42" t="s">
        <v>458</v>
      </c>
    </row>
    <row r="159" spans="1:15">
      <c r="A159" s="50"/>
      <c r="B159" s="51"/>
      <c r="C159" s="43"/>
      <c r="D159" s="43"/>
      <c r="E159" s="43"/>
      <c r="F159" s="40"/>
      <c r="G159" s="122"/>
      <c r="H159" s="122"/>
      <c r="I159" s="124"/>
      <c r="J159" s="39"/>
      <c r="K159" s="41"/>
      <c r="L159" s="42"/>
      <c r="M159" s="42"/>
      <c r="N159" s="42"/>
    </row>
    <row r="160" spans="1:15">
      <c r="A160" s="50"/>
      <c r="B160" s="51"/>
      <c r="C160" s="43"/>
      <c r="D160" s="43"/>
      <c r="E160" s="43"/>
      <c r="F160" s="40"/>
      <c r="G160" s="122"/>
      <c r="H160" s="122"/>
      <c r="I160" s="124"/>
      <c r="J160" s="39"/>
      <c r="K160" s="41"/>
      <c r="L160" s="42"/>
      <c r="M160" s="42"/>
      <c r="N160" s="42"/>
    </row>
    <row r="161" spans="1:14">
      <c r="A161" s="50"/>
      <c r="B161" s="51"/>
      <c r="C161" s="43"/>
      <c r="D161" s="43"/>
      <c r="E161" s="43"/>
      <c r="F161" s="40"/>
      <c r="G161" s="122"/>
      <c r="H161" s="40"/>
      <c r="I161" s="39"/>
      <c r="J161" s="39"/>
      <c r="K161" s="41"/>
      <c r="L161" s="42"/>
      <c r="M161" s="42"/>
      <c r="N161" s="42"/>
    </row>
    <row r="162" spans="1:14">
      <c r="A162" s="45"/>
      <c r="B162" s="46"/>
      <c r="C162" s="46"/>
      <c r="D162" s="46"/>
      <c r="E162" s="46"/>
      <c r="F162" s="45"/>
      <c r="G162" s="45"/>
      <c r="H162" s="45"/>
      <c r="I162" s="46"/>
      <c r="J162" s="46"/>
      <c r="K162" s="48"/>
      <c r="L162" s="49"/>
      <c r="M162" s="61">
        <f>SUM(M158:N161)</f>
        <v>4722</v>
      </c>
      <c r="N162" s="46">
        <f>SUM(N158:N158)</f>
        <v>0</v>
      </c>
    </row>
    <row r="163" spans="1:14">
      <c r="A163" s="59"/>
      <c r="B163" s="58"/>
      <c r="C163" s="58" t="s">
        <v>307</v>
      </c>
      <c r="D163" s="58"/>
      <c r="E163" s="58"/>
      <c r="F163" s="59"/>
      <c r="G163" s="59"/>
      <c r="H163" s="59"/>
      <c r="I163" s="58"/>
      <c r="J163" s="58"/>
      <c r="K163" s="60"/>
      <c r="L163" s="61"/>
      <c r="M163" s="63">
        <f>M162+M157</f>
        <v>43013.2</v>
      </c>
      <c r="N163" s="58"/>
    </row>
    <row r="165" spans="1:14">
      <c r="B165" s="38" t="s">
        <v>77</v>
      </c>
    </row>
  </sheetData>
  <mergeCells count="2">
    <mergeCell ref="A1:N1"/>
    <mergeCell ref="A157:B157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61"/>
  <sheetViews>
    <sheetView workbookViewId="0">
      <selection sqref="A1:XFD1048576"/>
    </sheetView>
  </sheetViews>
  <sheetFormatPr defaultRowHeight="15"/>
  <cols>
    <col min="1" max="1" width="3.85546875" style="62" customWidth="1"/>
    <col min="2" max="2" width="29.42578125" style="38" customWidth="1"/>
    <col min="3" max="3" width="28.42578125" style="38" customWidth="1"/>
    <col min="4" max="4" width="23.42578125" style="38" customWidth="1"/>
    <col min="5" max="5" width="14.28515625" style="38" customWidth="1"/>
    <col min="6" max="6" width="12.28515625" style="62" customWidth="1"/>
    <col min="7" max="7" width="9.140625" style="62"/>
    <col min="8" max="8" width="37.140625" style="38" customWidth="1"/>
    <col min="9" max="9" width="11.85546875" style="38" customWidth="1"/>
    <col min="10" max="10" width="9.140625" style="64" customWidth="1"/>
    <col min="11" max="11" width="14.7109375" style="44" customWidth="1"/>
    <col min="12" max="12" width="16.42578125" style="44" customWidth="1"/>
    <col min="13" max="13" width="22.85546875" style="38" customWidth="1"/>
    <col min="14" max="14" width="20.7109375" style="38" customWidth="1"/>
    <col min="15" max="16384" width="9.140625" style="38"/>
  </cols>
  <sheetData>
    <row r="1" spans="1:13" ht="18.75">
      <c r="A1" s="179" t="s">
        <v>639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412</v>
      </c>
      <c r="F2" s="89" t="s">
        <v>66</v>
      </c>
      <c r="G2" s="89" t="s">
        <v>4</v>
      </c>
      <c r="H2" s="89" t="s">
        <v>5</v>
      </c>
      <c r="I2" s="89" t="s">
        <v>6</v>
      </c>
      <c r="J2" s="90" t="s">
        <v>7</v>
      </c>
      <c r="K2" s="91" t="s">
        <v>8</v>
      </c>
      <c r="L2" s="91" t="s">
        <v>9</v>
      </c>
      <c r="M2" s="89" t="s">
        <v>67</v>
      </c>
    </row>
    <row r="3" spans="1:13">
      <c r="A3" s="40">
        <v>1</v>
      </c>
      <c r="B3" s="39" t="s">
        <v>476</v>
      </c>
      <c r="C3" s="43" t="s">
        <v>115</v>
      </c>
      <c r="D3" s="43" t="s">
        <v>461</v>
      </c>
      <c r="E3" s="43">
        <v>615031</v>
      </c>
      <c r="F3" s="40">
        <v>2210</v>
      </c>
      <c r="G3" s="40" t="s">
        <v>572</v>
      </c>
      <c r="H3" s="39" t="s">
        <v>619</v>
      </c>
      <c r="I3" s="39" t="s">
        <v>12</v>
      </c>
      <c r="J3" s="41">
        <v>3</v>
      </c>
      <c r="K3" s="42">
        <v>8.1</v>
      </c>
      <c r="L3" s="42">
        <v>24.3</v>
      </c>
      <c r="M3" s="42" t="s">
        <v>458</v>
      </c>
    </row>
    <row r="4" spans="1:13">
      <c r="A4" s="45"/>
      <c r="B4" s="46"/>
      <c r="C4" s="47"/>
      <c r="D4" s="47"/>
      <c r="E4" s="47"/>
      <c r="F4" s="45"/>
      <c r="G4" s="45"/>
      <c r="H4" s="46" t="s">
        <v>14</v>
      </c>
      <c r="I4" s="46"/>
      <c r="J4" s="48"/>
      <c r="K4" s="49"/>
      <c r="L4" s="49">
        <f>SUM(L3:L3)</f>
        <v>24.3</v>
      </c>
      <c r="M4" s="49">
        <f>SUM(M3:M3)</f>
        <v>0</v>
      </c>
    </row>
    <row r="5" spans="1:13">
      <c r="A5" s="50">
        <v>1</v>
      </c>
      <c r="B5" s="51" t="s">
        <v>85</v>
      </c>
      <c r="C5" s="43"/>
      <c r="D5" s="43"/>
      <c r="E5" s="43"/>
      <c r="F5" s="40"/>
      <c r="G5" s="40"/>
      <c r="H5" s="39"/>
      <c r="I5" s="39"/>
      <c r="J5" s="41"/>
      <c r="K5" s="42"/>
      <c r="L5" s="42"/>
      <c r="M5" s="42"/>
    </row>
    <row r="6" spans="1:13">
      <c r="A6" s="45"/>
      <c r="B6" s="46"/>
      <c r="C6" s="47"/>
      <c r="D6" s="47"/>
      <c r="E6" s="47"/>
      <c r="F6" s="45"/>
      <c r="G6" s="45"/>
      <c r="H6" s="46" t="s">
        <v>14</v>
      </c>
      <c r="I6" s="46"/>
      <c r="J6" s="48"/>
      <c r="K6" s="49"/>
      <c r="L6" s="49">
        <f>SUM(L5)</f>
        <v>0</v>
      </c>
      <c r="M6" s="46"/>
    </row>
    <row r="7" spans="1:13">
      <c r="A7" s="93"/>
      <c r="B7" s="94"/>
      <c r="C7" s="95" t="s">
        <v>477</v>
      </c>
      <c r="D7" s="95"/>
      <c r="E7" s="95"/>
      <c r="F7" s="93"/>
      <c r="G7" s="93"/>
      <c r="H7" s="94"/>
      <c r="I7" s="94"/>
      <c r="J7" s="96"/>
      <c r="K7" s="97"/>
      <c r="L7" s="97">
        <f>L6+L4</f>
        <v>24.3</v>
      </c>
      <c r="M7" s="97"/>
    </row>
    <row r="8" spans="1:13" ht="44.25" hidden="1" customHeight="1">
      <c r="A8" s="40">
        <v>1</v>
      </c>
      <c r="B8" s="51" t="s">
        <v>490</v>
      </c>
      <c r="C8" s="43"/>
      <c r="D8" s="43"/>
      <c r="E8" s="43"/>
      <c r="F8" s="40"/>
      <c r="G8" s="40"/>
      <c r="H8" s="39"/>
      <c r="I8" s="39"/>
      <c r="J8" s="41"/>
      <c r="K8" s="42"/>
      <c r="L8" s="42"/>
      <c r="M8" s="42"/>
    </row>
    <row r="9" spans="1:13" ht="53.25" hidden="1" customHeight="1">
      <c r="A9" s="40">
        <v>2</v>
      </c>
      <c r="B9" s="51" t="s">
        <v>490</v>
      </c>
      <c r="C9" s="43"/>
      <c r="D9" s="43"/>
      <c r="E9" s="43"/>
      <c r="F9" s="40"/>
      <c r="G9" s="40"/>
      <c r="H9" s="39"/>
      <c r="I9" s="39"/>
      <c r="J9" s="41"/>
      <c r="K9" s="42"/>
      <c r="L9" s="42"/>
      <c r="M9" s="42"/>
    </row>
    <row r="10" spans="1:13" hidden="1">
      <c r="A10" s="40">
        <v>3</v>
      </c>
      <c r="B10" s="51" t="s">
        <v>490</v>
      </c>
      <c r="C10" s="43"/>
      <c r="D10" s="43"/>
      <c r="E10" s="43"/>
      <c r="F10" s="40"/>
      <c r="G10" s="40"/>
      <c r="H10" s="51"/>
      <c r="I10" s="51"/>
      <c r="J10" s="53"/>
      <c r="K10" s="52"/>
      <c r="L10" s="52"/>
      <c r="M10" s="42"/>
    </row>
    <row r="11" spans="1:13" hidden="1">
      <c r="A11" s="40">
        <v>4</v>
      </c>
      <c r="B11" s="51" t="s">
        <v>490</v>
      </c>
      <c r="C11" s="43"/>
      <c r="D11" s="43"/>
      <c r="E11" s="43"/>
      <c r="F11" s="40"/>
      <c r="G11" s="40"/>
      <c r="H11" s="43"/>
      <c r="I11" s="51"/>
      <c r="J11" s="41"/>
      <c r="K11" s="42"/>
      <c r="L11" s="42"/>
      <c r="M11" s="42"/>
    </row>
    <row r="12" spans="1:13" hidden="1">
      <c r="A12" s="40">
        <v>5</v>
      </c>
      <c r="B12" s="51" t="s">
        <v>490</v>
      </c>
      <c r="C12" s="43"/>
      <c r="D12" s="43"/>
      <c r="E12" s="43"/>
      <c r="F12" s="40"/>
      <c r="G12" s="40"/>
      <c r="H12" s="43"/>
      <c r="I12" s="51"/>
      <c r="J12" s="41"/>
      <c r="K12" s="42"/>
      <c r="L12" s="42"/>
      <c r="M12" s="42"/>
    </row>
    <row r="13" spans="1:13" hidden="1">
      <c r="A13" s="40">
        <v>6</v>
      </c>
      <c r="B13" s="51" t="s">
        <v>490</v>
      </c>
      <c r="C13" s="43"/>
      <c r="D13" s="43"/>
      <c r="E13" s="43"/>
      <c r="F13" s="40"/>
      <c r="G13" s="40"/>
      <c r="H13" s="43"/>
      <c r="I13" s="51"/>
      <c r="J13" s="41"/>
      <c r="K13" s="42"/>
      <c r="L13" s="42"/>
      <c r="M13" s="42"/>
    </row>
    <row r="14" spans="1:13" hidden="1">
      <c r="A14" s="40">
        <v>7</v>
      </c>
      <c r="B14" s="51" t="s">
        <v>490</v>
      </c>
      <c r="C14" s="43"/>
      <c r="D14" s="43"/>
      <c r="E14" s="43"/>
      <c r="F14" s="40"/>
      <c r="G14" s="40"/>
      <c r="H14" s="43"/>
      <c r="I14" s="51"/>
      <c r="J14" s="41"/>
      <c r="K14" s="42"/>
      <c r="L14" s="42"/>
      <c r="M14" s="42"/>
    </row>
    <row r="15" spans="1:13" hidden="1">
      <c r="A15" s="40">
        <v>8</v>
      </c>
      <c r="B15" s="51" t="s">
        <v>490</v>
      </c>
      <c r="C15" s="43"/>
      <c r="D15" s="43"/>
      <c r="E15" s="43"/>
      <c r="F15" s="40"/>
      <c r="G15" s="40"/>
      <c r="H15" s="43"/>
      <c r="I15" s="51"/>
      <c r="J15" s="41"/>
      <c r="K15" s="42"/>
      <c r="L15" s="42"/>
      <c r="M15" s="42"/>
    </row>
    <row r="16" spans="1:13" hidden="1">
      <c r="A16" s="40">
        <v>9</v>
      </c>
      <c r="B16" s="51" t="s">
        <v>490</v>
      </c>
      <c r="C16" s="43"/>
      <c r="D16" s="43"/>
      <c r="E16" s="43"/>
      <c r="F16" s="40"/>
      <c r="G16" s="40"/>
      <c r="H16" s="43"/>
      <c r="I16" s="51"/>
      <c r="J16" s="41"/>
      <c r="K16" s="42"/>
      <c r="L16" s="42"/>
      <c r="M16" s="42"/>
    </row>
    <row r="17" spans="1:13" hidden="1">
      <c r="A17" s="45"/>
      <c r="B17" s="46"/>
      <c r="C17" s="47"/>
      <c r="D17" s="47"/>
      <c r="E17" s="47"/>
      <c r="F17" s="45"/>
      <c r="G17" s="45"/>
      <c r="H17" s="46" t="s">
        <v>14</v>
      </c>
      <c r="I17" s="46"/>
      <c r="J17" s="48"/>
      <c r="K17" s="49"/>
      <c r="L17" s="49">
        <f>SUM(L8:L16)</f>
        <v>0</v>
      </c>
      <c r="M17" s="49">
        <f>SUM(M7:M16)</f>
        <v>0</v>
      </c>
    </row>
    <row r="18" spans="1:13" ht="30">
      <c r="A18" s="45">
        <v>1</v>
      </c>
      <c r="B18" s="51" t="s">
        <v>492</v>
      </c>
      <c r="C18" s="43" t="s">
        <v>562</v>
      </c>
      <c r="D18" s="43" t="s">
        <v>638</v>
      </c>
      <c r="E18" s="43">
        <v>611070</v>
      </c>
      <c r="F18" s="40">
        <v>2210</v>
      </c>
      <c r="G18" s="122" t="s">
        <v>637</v>
      </c>
      <c r="H18" s="43" t="s">
        <v>635</v>
      </c>
      <c r="I18" s="39" t="s">
        <v>12</v>
      </c>
      <c r="J18" s="41">
        <v>1</v>
      </c>
      <c r="K18" s="42">
        <v>4722</v>
      </c>
      <c r="L18" s="42">
        <v>4722</v>
      </c>
      <c r="M18" s="42" t="s">
        <v>458</v>
      </c>
    </row>
    <row r="19" spans="1:13" hidden="1">
      <c r="A19" s="45">
        <v>2</v>
      </c>
      <c r="B19" s="51" t="s">
        <v>492</v>
      </c>
      <c r="C19" s="43"/>
      <c r="D19" s="43"/>
      <c r="E19" s="43"/>
      <c r="F19" s="40"/>
      <c r="G19" s="40"/>
      <c r="H19" s="39"/>
      <c r="I19" s="39"/>
      <c r="J19" s="41"/>
      <c r="K19" s="42"/>
      <c r="L19" s="42"/>
      <c r="M19" s="42"/>
    </row>
    <row r="20" spans="1:13" hidden="1">
      <c r="A20" s="45">
        <v>3</v>
      </c>
      <c r="B20" s="51" t="s">
        <v>492</v>
      </c>
      <c r="C20" s="43"/>
      <c r="D20" s="43"/>
      <c r="E20" s="43"/>
      <c r="F20" s="40"/>
      <c r="G20" s="40"/>
      <c r="H20" s="51"/>
      <c r="I20" s="51"/>
      <c r="J20" s="53"/>
      <c r="K20" s="52"/>
      <c r="L20" s="52"/>
      <c r="M20" s="42"/>
    </row>
    <row r="21" spans="1:13" hidden="1">
      <c r="A21" s="45">
        <v>4</v>
      </c>
      <c r="B21" s="51" t="s">
        <v>492</v>
      </c>
      <c r="C21" s="43"/>
      <c r="D21" s="43"/>
      <c r="E21" s="43"/>
      <c r="F21" s="40"/>
      <c r="G21" s="40"/>
      <c r="H21" s="43"/>
      <c r="I21" s="51"/>
      <c r="J21" s="41"/>
      <c r="K21" s="42"/>
      <c r="L21" s="42"/>
      <c r="M21" s="42"/>
    </row>
    <row r="22" spans="1:13" hidden="1">
      <c r="A22" s="45">
        <v>5</v>
      </c>
      <c r="B22" s="51" t="s">
        <v>492</v>
      </c>
      <c r="C22" s="43"/>
      <c r="D22" s="43"/>
      <c r="E22" s="43"/>
      <c r="F22" s="40"/>
      <c r="G22" s="40"/>
      <c r="H22" s="43"/>
      <c r="I22" s="51"/>
      <c r="J22" s="41"/>
      <c r="K22" s="42"/>
      <c r="L22" s="42"/>
      <c r="M22" s="42"/>
    </row>
    <row r="23" spans="1:13" hidden="1">
      <c r="A23" s="45">
        <v>6</v>
      </c>
      <c r="B23" s="51" t="s">
        <v>492</v>
      </c>
      <c r="C23" s="43"/>
      <c r="D23" s="43"/>
      <c r="E23" s="43"/>
      <c r="F23" s="40"/>
      <c r="G23" s="40"/>
      <c r="H23" s="43"/>
      <c r="I23" s="51"/>
      <c r="J23" s="41"/>
      <c r="K23" s="42"/>
      <c r="L23" s="42"/>
      <c r="M23" s="42"/>
    </row>
    <row r="24" spans="1:13" hidden="1">
      <c r="A24" s="45">
        <v>7</v>
      </c>
      <c r="B24" s="51" t="s">
        <v>492</v>
      </c>
      <c r="C24" s="43"/>
      <c r="D24" s="43"/>
      <c r="E24" s="43"/>
      <c r="F24" s="40"/>
      <c r="G24" s="40"/>
      <c r="H24" s="43"/>
      <c r="I24" s="51"/>
      <c r="J24" s="41"/>
      <c r="K24" s="42"/>
      <c r="L24" s="42"/>
      <c r="M24" s="42"/>
    </row>
    <row r="25" spans="1:13" hidden="1">
      <c r="A25" s="45">
        <v>8</v>
      </c>
      <c r="B25" s="51" t="s">
        <v>492</v>
      </c>
      <c r="C25" s="43"/>
      <c r="D25" s="43"/>
      <c r="E25" s="43"/>
      <c r="F25" s="40"/>
      <c r="G25" s="40"/>
      <c r="H25" s="43"/>
      <c r="I25" s="51"/>
      <c r="J25" s="41"/>
      <c r="K25" s="42"/>
      <c r="L25" s="42"/>
      <c r="M25" s="42"/>
    </row>
    <row r="26" spans="1:13" hidden="1">
      <c r="A26" s="45">
        <v>9</v>
      </c>
      <c r="B26" s="51" t="s">
        <v>492</v>
      </c>
      <c r="C26" s="43"/>
      <c r="D26" s="43"/>
      <c r="E26" s="43"/>
      <c r="F26" s="40"/>
      <c r="G26" s="40"/>
      <c r="H26" s="43"/>
      <c r="I26" s="51"/>
      <c r="J26" s="41"/>
      <c r="K26" s="42"/>
      <c r="L26" s="42"/>
      <c r="M26" s="42"/>
    </row>
    <row r="27" spans="1:13">
      <c r="A27" s="45"/>
      <c r="B27" s="46"/>
      <c r="C27" s="47"/>
      <c r="D27" s="47"/>
      <c r="E27" s="47"/>
      <c r="F27" s="45"/>
      <c r="G27" s="45"/>
      <c r="H27" s="46"/>
      <c r="I27" s="46"/>
      <c r="J27" s="48"/>
      <c r="K27" s="49"/>
      <c r="L27" s="49">
        <f>SUM(L18:L26)</f>
        <v>4722</v>
      </c>
      <c r="M27" s="49"/>
    </row>
    <row r="28" spans="1:13">
      <c r="A28" s="98"/>
      <c r="B28" s="99"/>
      <c r="C28" s="100" t="s">
        <v>491</v>
      </c>
      <c r="D28" s="100"/>
      <c r="E28" s="100"/>
      <c r="F28" s="98"/>
      <c r="G28" s="98"/>
      <c r="H28" s="99"/>
      <c r="I28" s="99"/>
      <c r="J28" s="101"/>
      <c r="K28" s="102"/>
      <c r="L28" s="102">
        <f>L27+L17</f>
        <v>4722</v>
      </c>
      <c r="M28" s="102"/>
    </row>
    <row r="29" spans="1:13" hidden="1">
      <c r="A29" s="40">
        <v>1</v>
      </c>
      <c r="B29" s="39" t="s">
        <v>493</v>
      </c>
      <c r="C29" s="43"/>
      <c r="D29" s="43"/>
      <c r="E29" s="43"/>
      <c r="F29" s="40"/>
      <c r="G29" s="40"/>
      <c r="H29" s="39"/>
      <c r="I29" s="39"/>
      <c r="J29" s="41"/>
      <c r="K29" s="42"/>
      <c r="L29" s="42"/>
      <c r="M29" s="42"/>
    </row>
    <row r="30" spans="1:13" hidden="1">
      <c r="A30" s="45"/>
      <c r="B30" s="46"/>
      <c r="C30" s="47"/>
      <c r="D30" s="47"/>
      <c r="E30" s="47"/>
      <c r="F30" s="45"/>
      <c r="G30" s="45"/>
      <c r="H30" s="46" t="s">
        <v>14</v>
      </c>
      <c r="I30" s="46"/>
      <c r="J30" s="48"/>
      <c r="K30" s="49"/>
      <c r="L30" s="49">
        <f>SUM(L29:L29)</f>
        <v>0</v>
      </c>
      <c r="M30" s="46"/>
    </row>
    <row r="31" spans="1:13" ht="30">
      <c r="A31" s="50">
        <v>1</v>
      </c>
      <c r="B31" s="51" t="s">
        <v>345</v>
      </c>
      <c r="C31" s="43" t="s">
        <v>562</v>
      </c>
      <c r="D31" s="43" t="s">
        <v>638</v>
      </c>
      <c r="E31" s="43">
        <v>611070</v>
      </c>
      <c r="F31" s="40">
        <v>2210</v>
      </c>
      <c r="G31" s="122" t="s">
        <v>637</v>
      </c>
      <c r="H31" s="43" t="s">
        <v>635</v>
      </c>
      <c r="I31" s="39" t="s">
        <v>12</v>
      </c>
      <c r="J31" s="41">
        <v>1</v>
      </c>
      <c r="K31" s="42">
        <v>4722</v>
      </c>
      <c r="L31" s="42">
        <v>4722</v>
      </c>
      <c r="M31" s="42" t="s">
        <v>458</v>
      </c>
    </row>
    <row r="32" spans="1:13">
      <c r="A32" s="45"/>
      <c r="B32" s="46"/>
      <c r="C32" s="47"/>
      <c r="D32" s="47"/>
      <c r="E32" s="47"/>
      <c r="F32" s="45"/>
      <c r="G32" s="45"/>
      <c r="H32" s="46" t="s">
        <v>14</v>
      </c>
      <c r="I32" s="46"/>
      <c r="J32" s="48"/>
      <c r="K32" s="49"/>
      <c r="L32" s="49">
        <f>SUM(L31)</f>
        <v>4722</v>
      </c>
      <c r="M32" s="46"/>
    </row>
    <row r="33" spans="1:13" hidden="1">
      <c r="A33" s="50">
        <v>1</v>
      </c>
      <c r="B33" s="51" t="s">
        <v>494</v>
      </c>
      <c r="C33" s="43" t="s">
        <v>115</v>
      </c>
      <c r="D33" s="43"/>
      <c r="E33" s="43"/>
      <c r="F33" s="40"/>
      <c r="G33" s="40"/>
      <c r="H33" s="39"/>
      <c r="I33" s="39"/>
      <c r="J33" s="41"/>
      <c r="K33" s="42"/>
      <c r="L33" s="42"/>
      <c r="M33" s="42"/>
    </row>
    <row r="34" spans="1:13" hidden="1">
      <c r="A34" s="45"/>
      <c r="B34" s="46"/>
      <c r="C34" s="47"/>
      <c r="D34" s="47"/>
      <c r="E34" s="47"/>
      <c r="F34" s="45"/>
      <c r="G34" s="45"/>
      <c r="H34" s="46" t="s">
        <v>14</v>
      </c>
      <c r="I34" s="46"/>
      <c r="J34" s="48"/>
      <c r="K34" s="49"/>
      <c r="L34" s="49">
        <f>SUM(L33:L33)</f>
        <v>0</v>
      </c>
      <c r="M34" s="46">
        <f>SUM(M33:M33)</f>
        <v>0</v>
      </c>
    </row>
    <row r="35" spans="1:13" hidden="1">
      <c r="A35" s="50">
        <v>1</v>
      </c>
      <c r="B35" s="51" t="s">
        <v>495</v>
      </c>
      <c r="C35" s="43" t="s">
        <v>115</v>
      </c>
      <c r="D35" s="43"/>
      <c r="E35" s="43"/>
      <c r="F35" s="40"/>
      <c r="G35" s="40"/>
      <c r="H35" s="39"/>
      <c r="I35" s="39"/>
      <c r="J35" s="41"/>
      <c r="K35" s="42"/>
      <c r="L35" s="42"/>
      <c r="M35" s="42"/>
    </row>
    <row r="36" spans="1:13" hidden="1">
      <c r="A36" s="45"/>
      <c r="B36" s="46"/>
      <c r="C36" s="47"/>
      <c r="D36" s="47"/>
      <c r="E36" s="47"/>
      <c r="F36" s="45"/>
      <c r="G36" s="45"/>
      <c r="H36" s="46" t="s">
        <v>14</v>
      </c>
      <c r="I36" s="46"/>
      <c r="J36" s="48"/>
      <c r="K36" s="49"/>
      <c r="L36" s="49">
        <f>SUM(L35:L35)</f>
        <v>0</v>
      </c>
      <c r="M36" s="46">
        <f>SUM(M35:M35)</f>
        <v>0</v>
      </c>
    </row>
    <row r="37" spans="1:13" hidden="1">
      <c r="A37" s="40">
        <v>1</v>
      </c>
      <c r="B37" s="39" t="s">
        <v>496</v>
      </c>
      <c r="C37" s="43" t="s">
        <v>115</v>
      </c>
      <c r="D37" s="43"/>
      <c r="E37" s="43"/>
      <c r="F37" s="40"/>
      <c r="G37" s="40"/>
      <c r="H37" s="39"/>
      <c r="I37" s="39"/>
      <c r="J37" s="41"/>
      <c r="K37" s="42"/>
      <c r="L37" s="42"/>
      <c r="M37" s="42"/>
    </row>
    <row r="38" spans="1:13" hidden="1">
      <c r="A38" s="45"/>
      <c r="B38" s="46"/>
      <c r="C38" s="47"/>
      <c r="D38" s="47"/>
      <c r="E38" s="47"/>
      <c r="F38" s="45"/>
      <c r="G38" s="45"/>
      <c r="H38" s="46" t="s">
        <v>14</v>
      </c>
      <c r="I38" s="46"/>
      <c r="J38" s="48"/>
      <c r="K38" s="49"/>
      <c r="L38" s="49">
        <f>SUM(L37:L37)</f>
        <v>0</v>
      </c>
      <c r="M38" s="46">
        <f>SUM(M37:M37)</f>
        <v>0</v>
      </c>
    </row>
    <row r="39" spans="1:13" hidden="1">
      <c r="A39" s="50">
        <v>1</v>
      </c>
      <c r="B39" s="51" t="s">
        <v>497</v>
      </c>
      <c r="C39" s="43" t="s">
        <v>115</v>
      </c>
      <c r="D39" s="43"/>
      <c r="E39" s="43"/>
      <c r="F39" s="40"/>
      <c r="G39" s="40"/>
      <c r="H39" s="39"/>
      <c r="I39" s="39"/>
      <c r="J39" s="41"/>
      <c r="K39" s="42"/>
      <c r="L39" s="42"/>
      <c r="M39" s="42"/>
    </row>
    <row r="40" spans="1:13" hidden="1">
      <c r="A40" s="45"/>
      <c r="B40" s="46"/>
      <c r="C40" s="47"/>
      <c r="D40" s="47"/>
      <c r="E40" s="47"/>
      <c r="F40" s="45"/>
      <c r="G40" s="45"/>
      <c r="H40" s="46" t="s">
        <v>14</v>
      </c>
      <c r="I40" s="46"/>
      <c r="J40" s="48"/>
      <c r="K40" s="49"/>
      <c r="L40" s="49">
        <f>SUM(L39:L39)</f>
        <v>0</v>
      </c>
      <c r="M40" s="46"/>
    </row>
    <row r="41" spans="1:13" hidden="1">
      <c r="A41" s="50">
        <v>1</v>
      </c>
      <c r="B41" s="51" t="s">
        <v>498</v>
      </c>
      <c r="C41" s="43" t="s">
        <v>115</v>
      </c>
      <c r="D41" s="43"/>
      <c r="E41" s="43"/>
      <c r="F41" s="40"/>
      <c r="G41" s="40"/>
      <c r="H41" s="39"/>
      <c r="I41" s="39"/>
      <c r="J41" s="41"/>
      <c r="K41" s="42"/>
      <c r="L41" s="42"/>
      <c r="M41" s="42"/>
    </row>
    <row r="42" spans="1:13" hidden="1">
      <c r="A42" s="45"/>
      <c r="B42" s="46"/>
      <c r="C42" s="47"/>
      <c r="D42" s="47"/>
      <c r="E42" s="47"/>
      <c r="F42" s="45"/>
      <c r="G42" s="45"/>
      <c r="H42" s="46" t="s">
        <v>14</v>
      </c>
      <c r="I42" s="46"/>
      <c r="J42" s="48"/>
      <c r="K42" s="49"/>
      <c r="L42" s="49">
        <f>SUM(L41:L41)</f>
        <v>0</v>
      </c>
      <c r="M42" s="46"/>
    </row>
    <row r="43" spans="1:13" hidden="1">
      <c r="A43" s="50">
        <v>1</v>
      </c>
      <c r="B43" s="51" t="s">
        <v>499</v>
      </c>
      <c r="C43" s="43" t="s">
        <v>115</v>
      </c>
      <c r="D43" s="43"/>
      <c r="E43" s="43"/>
      <c r="F43" s="40"/>
      <c r="G43" s="40"/>
      <c r="H43" s="39"/>
      <c r="I43" s="39"/>
      <c r="J43" s="41"/>
      <c r="K43" s="42"/>
      <c r="L43" s="42"/>
      <c r="M43" s="42"/>
    </row>
    <row r="44" spans="1:13" hidden="1">
      <c r="A44" s="45"/>
      <c r="B44" s="46"/>
      <c r="C44" s="47"/>
      <c r="D44" s="47"/>
      <c r="E44" s="47"/>
      <c r="F44" s="45"/>
      <c r="G44" s="45"/>
      <c r="H44" s="46" t="s">
        <v>14</v>
      </c>
      <c r="I44" s="46"/>
      <c r="J44" s="48"/>
      <c r="K44" s="49"/>
      <c r="L44" s="49">
        <f>SUM(L43:L43)</f>
        <v>0</v>
      </c>
      <c r="M44" s="46"/>
    </row>
    <row r="45" spans="1:13" hidden="1">
      <c r="A45" s="40">
        <v>1</v>
      </c>
      <c r="B45" s="39" t="s">
        <v>500</v>
      </c>
      <c r="C45" s="43" t="s">
        <v>115</v>
      </c>
      <c r="D45" s="43"/>
      <c r="E45" s="43"/>
      <c r="F45" s="40"/>
      <c r="G45" s="40"/>
      <c r="H45" s="39"/>
      <c r="I45" s="39"/>
      <c r="J45" s="41"/>
      <c r="K45" s="42"/>
      <c r="L45" s="42"/>
      <c r="M45" s="42"/>
    </row>
    <row r="46" spans="1:13" hidden="1">
      <c r="A46" s="45"/>
      <c r="B46" s="46"/>
      <c r="C46" s="47"/>
      <c r="D46" s="47"/>
      <c r="E46" s="47"/>
      <c r="F46" s="45"/>
      <c r="G46" s="45"/>
      <c r="H46" s="46" t="s">
        <v>14</v>
      </c>
      <c r="I46" s="46"/>
      <c r="J46" s="48"/>
      <c r="K46" s="49"/>
      <c r="L46" s="49">
        <f>SUM(L45:L45)</f>
        <v>0</v>
      </c>
      <c r="M46" s="46">
        <f>SUM(M45:M45)</f>
        <v>0</v>
      </c>
    </row>
    <row r="47" spans="1:13" hidden="1">
      <c r="A47" s="50">
        <v>1</v>
      </c>
      <c r="B47" s="51" t="s">
        <v>348</v>
      </c>
      <c r="C47" s="43" t="s">
        <v>115</v>
      </c>
      <c r="D47" s="43"/>
      <c r="E47" s="43"/>
      <c r="F47" s="40"/>
      <c r="G47" s="40"/>
      <c r="H47" s="39"/>
      <c r="I47" s="39"/>
      <c r="J47" s="41"/>
      <c r="K47" s="42"/>
      <c r="L47" s="42"/>
      <c r="M47" s="42"/>
    </row>
    <row r="48" spans="1:13" hidden="1">
      <c r="A48" s="45"/>
      <c r="B48" s="46"/>
      <c r="C48" s="47"/>
      <c r="D48" s="47"/>
      <c r="E48" s="47"/>
      <c r="F48" s="45"/>
      <c r="G48" s="45"/>
      <c r="H48" s="46" t="s">
        <v>14</v>
      </c>
      <c r="I48" s="46"/>
      <c r="J48" s="48"/>
      <c r="K48" s="49"/>
      <c r="L48" s="49">
        <f>SUM(L47:L47)</f>
        <v>0</v>
      </c>
      <c r="M48" s="46"/>
    </row>
    <row r="49" spans="1:13" hidden="1">
      <c r="A49" s="40">
        <v>1</v>
      </c>
      <c r="B49" s="39" t="s">
        <v>170</v>
      </c>
      <c r="C49" s="43" t="s">
        <v>115</v>
      </c>
      <c r="D49" s="43"/>
      <c r="E49" s="43"/>
      <c r="F49" s="40"/>
      <c r="G49" s="40"/>
      <c r="H49" s="39"/>
      <c r="I49" s="39"/>
      <c r="J49" s="41"/>
      <c r="K49" s="42"/>
      <c r="L49" s="42"/>
      <c r="M49" s="42"/>
    </row>
    <row r="50" spans="1:13" hidden="1">
      <c r="A50" s="45"/>
      <c r="B50" s="46"/>
      <c r="C50" s="47"/>
      <c r="D50" s="47"/>
      <c r="E50" s="47"/>
      <c r="F50" s="45"/>
      <c r="G50" s="45"/>
      <c r="H50" s="46" t="s">
        <v>14</v>
      </c>
      <c r="I50" s="46"/>
      <c r="J50" s="48"/>
      <c r="K50" s="49"/>
      <c r="L50" s="49">
        <f>SUM(L49:L49)</f>
        <v>0</v>
      </c>
      <c r="M50" s="46">
        <f>SUM(M49:M49)</f>
        <v>0</v>
      </c>
    </row>
    <row r="51" spans="1:13" hidden="1">
      <c r="A51" s="50">
        <v>1</v>
      </c>
      <c r="B51" s="51" t="s">
        <v>501</v>
      </c>
      <c r="C51" s="43" t="s">
        <v>115</v>
      </c>
      <c r="D51" s="43"/>
      <c r="E51" s="43"/>
      <c r="F51" s="40"/>
      <c r="G51" s="40"/>
      <c r="H51" s="39"/>
      <c r="I51" s="39"/>
      <c r="J51" s="41"/>
      <c r="K51" s="42"/>
      <c r="L51" s="42"/>
      <c r="M51" s="42"/>
    </row>
    <row r="52" spans="1:13" hidden="1">
      <c r="A52" s="45"/>
      <c r="B52" s="46"/>
      <c r="C52" s="47"/>
      <c r="D52" s="47"/>
      <c r="E52" s="47"/>
      <c r="F52" s="45"/>
      <c r="G52" s="45"/>
      <c r="H52" s="46" t="s">
        <v>14</v>
      </c>
      <c r="I52" s="46"/>
      <c r="J52" s="48"/>
      <c r="K52" s="49"/>
      <c r="L52" s="49">
        <f>SUM(L51:L51)</f>
        <v>0</v>
      </c>
      <c r="M52" s="46">
        <f>SUM(M51:M51)</f>
        <v>0</v>
      </c>
    </row>
    <row r="53" spans="1:13" hidden="1">
      <c r="A53" s="40">
        <v>1</v>
      </c>
      <c r="B53" s="39" t="s">
        <v>502</v>
      </c>
      <c r="C53" s="43" t="s">
        <v>115</v>
      </c>
      <c r="D53" s="43"/>
      <c r="E53" s="43"/>
      <c r="F53" s="40"/>
      <c r="G53" s="40"/>
      <c r="H53" s="39"/>
      <c r="I53" s="39"/>
      <c r="J53" s="41"/>
      <c r="K53" s="42"/>
      <c r="L53" s="42"/>
      <c r="M53" s="42"/>
    </row>
    <row r="54" spans="1:13" hidden="1">
      <c r="A54" s="45"/>
      <c r="B54" s="46"/>
      <c r="C54" s="47"/>
      <c r="D54" s="47"/>
      <c r="E54" s="47"/>
      <c r="F54" s="45"/>
      <c r="G54" s="45"/>
      <c r="H54" s="46" t="s">
        <v>14</v>
      </c>
      <c r="I54" s="46"/>
      <c r="J54" s="48"/>
      <c r="K54" s="49"/>
      <c r="L54" s="49">
        <f>SUM(L53:L53)</f>
        <v>0</v>
      </c>
      <c r="M54" s="46">
        <f>SUM(M53:M53)</f>
        <v>0</v>
      </c>
    </row>
    <row r="55" spans="1:13" ht="30">
      <c r="A55" s="50">
        <v>1</v>
      </c>
      <c r="B55" s="51" t="s">
        <v>503</v>
      </c>
      <c r="C55" s="43" t="s">
        <v>562</v>
      </c>
      <c r="D55" s="43" t="s">
        <v>638</v>
      </c>
      <c r="E55" s="43">
        <v>611070</v>
      </c>
      <c r="F55" s="40">
        <v>2210</v>
      </c>
      <c r="G55" s="122" t="s">
        <v>637</v>
      </c>
      <c r="H55" s="43" t="s">
        <v>635</v>
      </c>
      <c r="I55" s="39" t="s">
        <v>12</v>
      </c>
      <c r="J55" s="41">
        <v>1</v>
      </c>
      <c r="K55" s="42">
        <v>4722</v>
      </c>
      <c r="L55" s="42">
        <v>4722</v>
      </c>
      <c r="M55" s="42" t="s">
        <v>458</v>
      </c>
    </row>
    <row r="56" spans="1:13">
      <c r="A56" s="45"/>
      <c r="B56" s="46"/>
      <c r="C56" s="47"/>
      <c r="D56" s="47"/>
      <c r="E56" s="47"/>
      <c r="F56" s="45"/>
      <c r="G56" s="45"/>
      <c r="H56" s="46" t="s">
        <v>14</v>
      </c>
      <c r="I56" s="46"/>
      <c r="J56" s="48"/>
      <c r="K56" s="49"/>
      <c r="L56" s="49">
        <f>SUM(L55:L55)</f>
        <v>4722</v>
      </c>
      <c r="M56" s="46"/>
    </row>
    <row r="57" spans="1:13" s="57" customFormat="1" ht="30">
      <c r="A57" s="50">
        <v>1</v>
      </c>
      <c r="B57" s="51" t="s">
        <v>504</v>
      </c>
      <c r="C57" s="43" t="s">
        <v>562</v>
      </c>
      <c r="D57" s="43" t="s">
        <v>638</v>
      </c>
      <c r="E57" s="43">
        <v>611070</v>
      </c>
      <c r="F57" s="40">
        <v>2210</v>
      </c>
      <c r="G57" s="122" t="s">
        <v>637</v>
      </c>
      <c r="H57" s="43" t="s">
        <v>635</v>
      </c>
      <c r="I57" s="39" t="s">
        <v>12</v>
      </c>
      <c r="J57" s="41">
        <v>1</v>
      </c>
      <c r="K57" s="42">
        <v>4722</v>
      </c>
      <c r="L57" s="42">
        <v>4722</v>
      </c>
      <c r="M57" s="42" t="s">
        <v>458</v>
      </c>
    </row>
    <row r="58" spans="1:13">
      <c r="A58" s="45"/>
      <c r="B58" s="46"/>
      <c r="C58" s="47"/>
      <c r="D58" s="47"/>
      <c r="E58" s="47"/>
      <c r="F58" s="45"/>
      <c r="G58" s="45"/>
      <c r="H58" s="46" t="s">
        <v>14</v>
      </c>
      <c r="I58" s="46"/>
      <c r="J58" s="48"/>
      <c r="K58" s="49"/>
      <c r="L58" s="49">
        <f>SUM(L57:L57)</f>
        <v>4722</v>
      </c>
      <c r="M58" s="46"/>
    </row>
    <row r="59" spans="1:13" ht="15.75">
      <c r="A59" s="59"/>
      <c r="B59" s="58"/>
      <c r="C59" s="58" t="s">
        <v>640</v>
      </c>
      <c r="D59" s="58"/>
      <c r="E59" s="58"/>
      <c r="F59" s="59"/>
      <c r="G59" s="59"/>
      <c r="H59" s="58"/>
      <c r="I59" s="58"/>
      <c r="J59" s="60"/>
      <c r="K59" s="61"/>
      <c r="L59" s="83">
        <f>L58+L56+L54+L52+L50+L48+L46+L44+L42+L40+L38+L36+L34+L30+L32</f>
        <v>14166</v>
      </c>
      <c r="M59" s="58"/>
    </row>
    <row r="60" spans="1:13">
      <c r="M60" s="146"/>
    </row>
    <row r="61" spans="1:13" ht="18.75">
      <c r="B61" s="38" t="s">
        <v>77</v>
      </c>
      <c r="H61" s="103" t="s">
        <v>505</v>
      </c>
      <c r="I61" s="103"/>
      <c r="J61" s="104"/>
      <c r="K61" s="105"/>
      <c r="L61" s="106">
        <f>'Серпень 2023 КЗШ'!M163+'Серпень 2023 ДНЗ,ПНЗ,'!L59+'Серпень 2023 ДНЗ,ПНЗ,'!L28+'Серпень 2023 ДНЗ,ПНЗ,'!L7</f>
        <v>61925.5</v>
      </c>
    </row>
  </sheetData>
  <mergeCells count="1">
    <mergeCell ref="A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R221"/>
  <sheetViews>
    <sheetView zoomScale="87" zoomScaleNormal="87" workbookViewId="0">
      <pane ySplit="2" topLeftCell="A160" activePane="bottomLeft" state="frozen"/>
      <selection pane="bottomLeft" activeCell="I165" sqref="I165:I167"/>
    </sheetView>
  </sheetViews>
  <sheetFormatPr defaultRowHeight="15"/>
  <cols>
    <col min="1" max="1" width="3.85546875" style="149" customWidth="1"/>
    <col min="2" max="2" width="29.42578125" style="149" customWidth="1"/>
    <col min="3" max="3" width="28.42578125" style="149" customWidth="1"/>
    <col min="4" max="4" width="31.42578125" style="149" customWidth="1"/>
    <col min="5" max="5" width="18.42578125" style="149" customWidth="1"/>
    <col min="6" max="6" width="14.28515625" style="149" customWidth="1"/>
    <col min="7" max="7" width="10.28515625" style="149" hidden="1" customWidth="1"/>
    <col min="8" max="8" width="19.140625" style="149" customWidth="1"/>
    <col min="9" max="9" width="35.7109375" style="149" customWidth="1"/>
    <col min="10" max="10" width="11.85546875" style="149" customWidth="1"/>
    <col min="11" max="11" width="9.140625" style="170" customWidth="1"/>
    <col min="12" max="12" width="14.7109375" style="152" customWidth="1"/>
    <col min="13" max="13" width="13.85546875" style="152" customWidth="1"/>
    <col min="14" max="14" width="22.85546875" style="149" hidden="1" customWidth="1"/>
    <col min="15" max="15" width="20.7109375" style="149" customWidth="1"/>
    <col min="16" max="16" width="12.42578125" style="149" customWidth="1"/>
    <col min="17" max="16384" width="9.140625" style="149"/>
  </cols>
  <sheetData>
    <row r="1" spans="1:15" ht="18.75">
      <c r="A1" s="221" t="s">
        <v>643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</row>
    <row r="2" spans="1:15" ht="47.25">
      <c r="A2" s="88" t="s">
        <v>0</v>
      </c>
      <c r="B2" s="89" t="s">
        <v>1</v>
      </c>
      <c r="C2" s="89" t="s">
        <v>2</v>
      </c>
      <c r="D2" s="89" t="s">
        <v>456</v>
      </c>
      <c r="E2" s="89" t="s">
        <v>66</v>
      </c>
      <c r="F2" s="89" t="s">
        <v>3</v>
      </c>
      <c r="G2" s="89" t="s">
        <v>66</v>
      </c>
      <c r="H2" s="89" t="s">
        <v>4</v>
      </c>
      <c r="I2" s="89" t="s">
        <v>5</v>
      </c>
      <c r="J2" s="89" t="s">
        <v>6</v>
      </c>
      <c r="K2" s="90" t="s">
        <v>7</v>
      </c>
      <c r="L2" s="91" t="s">
        <v>8</v>
      </c>
      <c r="M2" s="91" t="s">
        <v>9</v>
      </c>
      <c r="N2" s="89" t="s">
        <v>67</v>
      </c>
    </row>
    <row r="3" spans="1:15" ht="38.25" customHeight="1">
      <c r="A3" s="137">
        <v>1</v>
      </c>
      <c r="B3" s="137" t="s">
        <v>68</v>
      </c>
      <c r="C3" s="92" t="s">
        <v>644</v>
      </c>
      <c r="D3" s="92" t="s">
        <v>645</v>
      </c>
      <c r="E3" s="92">
        <v>613230</v>
      </c>
      <c r="F3" s="92">
        <v>2230</v>
      </c>
      <c r="G3" s="137"/>
      <c r="H3" s="137" t="s">
        <v>411</v>
      </c>
      <c r="I3" s="137" t="s">
        <v>646</v>
      </c>
      <c r="J3" s="137" t="s">
        <v>12</v>
      </c>
      <c r="K3" s="147">
        <v>8</v>
      </c>
      <c r="L3" s="148">
        <v>80</v>
      </c>
      <c r="M3" s="148">
        <v>640</v>
      </c>
      <c r="N3" s="148" t="s">
        <v>458</v>
      </c>
    </row>
    <row r="4" spans="1:15" ht="45">
      <c r="A4" s="137">
        <v>2</v>
      </c>
      <c r="B4" s="137" t="s">
        <v>68</v>
      </c>
      <c r="C4" s="92" t="s">
        <v>694</v>
      </c>
      <c r="D4" s="92" t="s">
        <v>461</v>
      </c>
      <c r="E4" s="92">
        <v>611021</v>
      </c>
      <c r="F4" s="92">
        <v>2210</v>
      </c>
      <c r="G4" s="137"/>
      <c r="H4" s="137">
        <v>1113</v>
      </c>
      <c r="I4" s="137" t="s">
        <v>695</v>
      </c>
      <c r="J4" s="137" t="s">
        <v>12</v>
      </c>
      <c r="K4" s="147">
        <v>1</v>
      </c>
      <c r="L4" s="148">
        <v>5083.2299999999996</v>
      </c>
      <c r="M4" s="148">
        <v>5083.2299999999996</v>
      </c>
      <c r="N4" s="137" t="s">
        <v>459</v>
      </c>
      <c r="O4" s="152">
        <f>M4+M53+M55+M59+M61+M68+M102+M106+M127+M130+M134+M136+M140+M142+M146+M149+M153+M155+M158+M165+M162+M169+M171+M173+M175</f>
        <v>127080.74999999993</v>
      </c>
    </row>
    <row r="5" spans="1:15" hidden="1">
      <c r="A5" s="137">
        <v>6</v>
      </c>
      <c r="B5" s="137" t="s">
        <v>68</v>
      </c>
      <c r="C5" s="92"/>
      <c r="D5" s="92"/>
      <c r="E5" s="92"/>
      <c r="F5" s="92"/>
      <c r="G5" s="137"/>
      <c r="H5" s="137"/>
      <c r="I5" s="92"/>
      <c r="J5" s="137"/>
      <c r="K5" s="150"/>
      <c r="L5" s="151"/>
      <c r="M5" s="151"/>
      <c r="N5" s="137" t="s">
        <v>459</v>
      </c>
    </row>
    <row r="6" spans="1:15" hidden="1">
      <c r="A6" s="137">
        <v>7</v>
      </c>
      <c r="B6" s="137" t="s">
        <v>68</v>
      </c>
      <c r="C6" s="92"/>
      <c r="D6" s="92"/>
      <c r="E6" s="92"/>
      <c r="F6" s="92"/>
      <c r="G6" s="137"/>
      <c r="H6" s="137"/>
      <c r="I6" s="137"/>
      <c r="J6" s="137"/>
      <c r="K6" s="150"/>
      <c r="L6" s="151"/>
      <c r="M6" s="151"/>
      <c r="N6" s="137" t="s">
        <v>459</v>
      </c>
    </row>
    <row r="7" spans="1:15" hidden="1">
      <c r="A7" s="137">
        <v>8</v>
      </c>
      <c r="B7" s="137" t="s">
        <v>68</v>
      </c>
      <c r="C7" s="92"/>
      <c r="D7" s="92"/>
      <c r="E7" s="92"/>
      <c r="F7" s="92"/>
      <c r="G7" s="137"/>
      <c r="H7" s="137"/>
      <c r="I7" s="137"/>
      <c r="J7" s="137"/>
      <c r="K7" s="150"/>
      <c r="L7" s="151"/>
      <c r="M7" s="151"/>
      <c r="N7" s="137" t="s">
        <v>459</v>
      </c>
    </row>
    <row r="8" spans="1:15" hidden="1">
      <c r="A8" s="137">
        <v>9</v>
      </c>
      <c r="B8" s="137" t="s">
        <v>68</v>
      </c>
      <c r="C8" s="92"/>
      <c r="D8" s="92"/>
      <c r="E8" s="92"/>
      <c r="F8" s="92"/>
      <c r="G8" s="137"/>
      <c r="H8" s="137"/>
      <c r="I8" s="137"/>
      <c r="J8" s="137"/>
      <c r="K8" s="150"/>
      <c r="L8" s="151"/>
      <c r="M8" s="151"/>
      <c r="N8" s="137" t="s">
        <v>459</v>
      </c>
    </row>
    <row r="9" spans="1:15" hidden="1">
      <c r="A9" s="137">
        <v>10</v>
      </c>
      <c r="B9" s="137" t="s">
        <v>68</v>
      </c>
      <c r="C9" s="92"/>
      <c r="D9" s="92"/>
      <c r="E9" s="92"/>
      <c r="F9" s="92"/>
      <c r="G9" s="137"/>
      <c r="H9" s="137"/>
      <c r="I9" s="137"/>
      <c r="J9" s="137"/>
      <c r="K9" s="150"/>
      <c r="L9" s="151"/>
      <c r="M9" s="151"/>
      <c r="N9" s="137" t="s">
        <v>459</v>
      </c>
    </row>
    <row r="10" spans="1:15" hidden="1">
      <c r="A10" s="137">
        <v>11</v>
      </c>
      <c r="B10" s="137" t="s">
        <v>68</v>
      </c>
      <c r="C10" s="92"/>
      <c r="D10" s="92"/>
      <c r="E10" s="92"/>
      <c r="F10" s="92"/>
      <c r="G10" s="137"/>
      <c r="H10" s="137"/>
      <c r="I10" s="137"/>
      <c r="J10" s="137"/>
      <c r="K10" s="150"/>
      <c r="L10" s="151"/>
      <c r="M10" s="151"/>
      <c r="N10" s="137" t="s">
        <v>459</v>
      </c>
      <c r="O10" s="152"/>
    </row>
    <row r="11" spans="1:15" hidden="1">
      <c r="A11" s="137">
        <v>12</v>
      </c>
      <c r="B11" s="137" t="s">
        <v>68</v>
      </c>
      <c r="C11" s="92"/>
      <c r="D11" s="92"/>
      <c r="E11" s="92"/>
      <c r="F11" s="92"/>
      <c r="G11" s="137"/>
      <c r="H11" s="137"/>
      <c r="I11" s="137"/>
      <c r="J11" s="137"/>
      <c r="K11" s="150"/>
      <c r="L11" s="151"/>
      <c r="M11" s="151"/>
      <c r="N11" s="137" t="s">
        <v>459</v>
      </c>
      <c r="O11" s="152"/>
    </row>
    <row r="12" spans="1:15" hidden="1">
      <c r="A12" s="137">
        <v>13</v>
      </c>
      <c r="B12" s="137" t="s">
        <v>68</v>
      </c>
      <c r="C12" s="92"/>
      <c r="D12" s="92"/>
      <c r="E12" s="92"/>
      <c r="F12" s="92"/>
      <c r="G12" s="137"/>
      <c r="H12" s="137"/>
      <c r="I12" s="137"/>
      <c r="J12" s="137"/>
      <c r="K12" s="150"/>
      <c r="L12" s="151"/>
      <c r="M12" s="151"/>
      <c r="N12" s="137" t="s">
        <v>459</v>
      </c>
      <c r="O12" s="152"/>
    </row>
    <row r="13" spans="1:15" hidden="1">
      <c r="A13" s="137">
        <v>14</v>
      </c>
      <c r="B13" s="137" t="s">
        <v>68</v>
      </c>
      <c r="C13" s="92"/>
      <c r="D13" s="92"/>
      <c r="E13" s="92"/>
      <c r="F13" s="92"/>
      <c r="G13" s="137"/>
      <c r="H13" s="137"/>
      <c r="I13" s="137"/>
      <c r="J13" s="137"/>
      <c r="K13" s="150"/>
      <c r="L13" s="151"/>
      <c r="M13" s="151"/>
      <c r="N13" s="137" t="s">
        <v>459</v>
      </c>
      <c r="O13" s="152"/>
    </row>
    <row r="14" spans="1:15" hidden="1">
      <c r="A14" s="137"/>
      <c r="B14" s="137"/>
      <c r="C14" s="92"/>
      <c r="D14" s="92"/>
      <c r="E14" s="92"/>
      <c r="F14" s="92"/>
      <c r="G14" s="137"/>
      <c r="H14" s="137"/>
      <c r="I14" s="137"/>
      <c r="J14" s="137"/>
      <c r="K14" s="150"/>
      <c r="L14" s="151"/>
      <c r="M14" s="151"/>
      <c r="N14" s="137"/>
      <c r="O14" s="152"/>
    </row>
    <row r="15" spans="1:15" hidden="1">
      <c r="A15" s="137"/>
      <c r="B15" s="137"/>
      <c r="C15" s="92"/>
      <c r="D15" s="92"/>
      <c r="E15" s="92"/>
      <c r="F15" s="92"/>
      <c r="G15" s="137"/>
      <c r="H15" s="137"/>
      <c r="I15" s="137"/>
      <c r="J15" s="137"/>
      <c r="K15" s="150"/>
      <c r="L15" s="151"/>
      <c r="M15" s="151"/>
      <c r="N15" s="137"/>
      <c r="O15" s="152"/>
    </row>
    <row r="16" spans="1:15" hidden="1">
      <c r="A16" s="137"/>
      <c r="B16" s="137"/>
      <c r="C16" s="92"/>
      <c r="D16" s="92"/>
      <c r="E16" s="92"/>
      <c r="F16" s="92"/>
      <c r="G16" s="137"/>
      <c r="H16" s="137"/>
      <c r="I16" s="137"/>
      <c r="J16" s="137"/>
      <c r="K16" s="150"/>
      <c r="L16" s="151"/>
      <c r="M16" s="151"/>
      <c r="N16" s="137"/>
      <c r="O16" s="152"/>
    </row>
    <row r="17" spans="1:15" hidden="1">
      <c r="A17" s="137"/>
      <c r="B17" s="137"/>
      <c r="C17" s="92"/>
      <c r="D17" s="92"/>
      <c r="E17" s="92"/>
      <c r="F17" s="92"/>
      <c r="G17" s="137"/>
      <c r="H17" s="137"/>
      <c r="I17" s="137"/>
      <c r="J17" s="137"/>
      <c r="K17" s="150"/>
      <c r="L17" s="151"/>
      <c r="M17" s="151"/>
      <c r="N17" s="137"/>
      <c r="O17" s="152"/>
    </row>
    <row r="18" spans="1:15" hidden="1">
      <c r="A18" s="137"/>
      <c r="B18" s="137"/>
      <c r="C18" s="92"/>
      <c r="D18" s="92"/>
      <c r="E18" s="92"/>
      <c r="F18" s="92"/>
      <c r="G18" s="137"/>
      <c r="H18" s="137"/>
      <c r="I18" s="137"/>
      <c r="J18" s="137"/>
      <c r="K18" s="150"/>
      <c r="L18" s="151"/>
      <c r="M18" s="151"/>
      <c r="N18" s="137"/>
      <c r="O18" s="152"/>
    </row>
    <row r="19" spans="1:15" hidden="1">
      <c r="A19" s="137"/>
      <c r="B19" s="137"/>
      <c r="C19" s="92"/>
      <c r="D19" s="92"/>
      <c r="E19" s="92"/>
      <c r="F19" s="92"/>
      <c r="G19" s="137"/>
      <c r="H19" s="137"/>
      <c r="I19" s="137"/>
      <c r="J19" s="137"/>
      <c r="K19" s="150"/>
      <c r="L19" s="151"/>
      <c r="M19" s="151"/>
      <c r="N19" s="137"/>
      <c r="O19" s="152"/>
    </row>
    <row r="20" spans="1:15" hidden="1">
      <c r="A20" s="137"/>
      <c r="B20" s="137"/>
      <c r="C20" s="92"/>
      <c r="D20" s="92"/>
      <c r="E20" s="92"/>
      <c r="F20" s="92"/>
      <c r="G20" s="137"/>
      <c r="H20" s="137"/>
      <c r="I20" s="137"/>
      <c r="J20" s="137"/>
      <c r="K20" s="150"/>
      <c r="L20" s="151"/>
      <c r="M20" s="151"/>
      <c r="N20" s="137"/>
      <c r="O20" s="152"/>
    </row>
    <row r="21" spans="1:15" hidden="1">
      <c r="A21" s="137"/>
      <c r="B21" s="137"/>
      <c r="C21" s="92"/>
      <c r="D21" s="92"/>
      <c r="E21" s="92"/>
      <c r="F21" s="92"/>
      <c r="G21" s="137"/>
      <c r="H21" s="137"/>
      <c r="I21" s="137"/>
      <c r="J21" s="137"/>
      <c r="K21" s="150"/>
      <c r="L21" s="151"/>
      <c r="M21" s="151"/>
      <c r="N21" s="137"/>
      <c r="O21" s="152"/>
    </row>
    <row r="22" spans="1:15" hidden="1">
      <c r="A22" s="137"/>
      <c r="B22" s="137"/>
      <c r="C22" s="92"/>
      <c r="D22" s="92"/>
      <c r="E22" s="92"/>
      <c r="F22" s="92"/>
      <c r="G22" s="137"/>
      <c r="H22" s="137"/>
      <c r="I22" s="137"/>
      <c r="J22" s="137"/>
      <c r="K22" s="150"/>
      <c r="L22" s="151"/>
      <c r="M22" s="151"/>
      <c r="N22" s="137"/>
      <c r="O22" s="152"/>
    </row>
    <row r="23" spans="1:15" hidden="1">
      <c r="A23" s="137"/>
      <c r="B23" s="137"/>
      <c r="C23" s="92"/>
      <c r="D23" s="92"/>
      <c r="E23" s="92"/>
      <c r="F23" s="92"/>
      <c r="G23" s="137"/>
      <c r="H23" s="137"/>
      <c r="I23" s="137"/>
      <c r="J23" s="137"/>
      <c r="K23" s="150"/>
      <c r="L23" s="151"/>
      <c r="M23" s="151"/>
      <c r="N23" s="137"/>
      <c r="O23" s="152"/>
    </row>
    <row r="24" spans="1:15" hidden="1">
      <c r="A24" s="137"/>
      <c r="B24" s="137"/>
      <c r="C24" s="92"/>
      <c r="D24" s="92"/>
      <c r="E24" s="92"/>
      <c r="F24" s="92"/>
      <c r="G24" s="137"/>
      <c r="H24" s="137"/>
      <c r="I24" s="137"/>
      <c r="J24" s="137"/>
      <c r="K24" s="150"/>
      <c r="L24" s="151"/>
      <c r="M24" s="151"/>
      <c r="N24" s="137"/>
      <c r="O24" s="152"/>
    </row>
    <row r="25" spans="1:15" hidden="1">
      <c r="A25" s="137"/>
      <c r="B25" s="137"/>
      <c r="C25" s="92"/>
      <c r="D25" s="92"/>
      <c r="E25" s="92"/>
      <c r="F25" s="92"/>
      <c r="G25" s="137"/>
      <c r="H25" s="137"/>
      <c r="I25" s="137"/>
      <c r="J25" s="137"/>
      <c r="K25" s="150"/>
      <c r="L25" s="151"/>
      <c r="M25" s="151"/>
      <c r="N25" s="137"/>
      <c r="O25" s="152"/>
    </row>
    <row r="26" spans="1:15" hidden="1">
      <c r="A26" s="137"/>
      <c r="B26" s="137"/>
      <c r="C26" s="92"/>
      <c r="D26" s="92"/>
      <c r="E26" s="92"/>
      <c r="F26" s="92"/>
      <c r="G26" s="137"/>
      <c r="H26" s="137"/>
      <c r="I26" s="137"/>
      <c r="J26" s="137"/>
      <c r="K26" s="150"/>
      <c r="L26" s="151"/>
      <c r="M26" s="151"/>
      <c r="N26" s="137"/>
      <c r="O26" s="152"/>
    </row>
    <row r="27" spans="1:15" hidden="1">
      <c r="A27" s="137"/>
      <c r="B27" s="137"/>
      <c r="C27" s="92"/>
      <c r="D27" s="92"/>
      <c r="E27" s="92"/>
      <c r="F27" s="92"/>
      <c r="G27" s="137"/>
      <c r="H27" s="137"/>
      <c r="I27" s="137"/>
      <c r="J27" s="137"/>
      <c r="K27" s="150"/>
      <c r="L27" s="151"/>
      <c r="M27" s="151"/>
      <c r="N27" s="137"/>
      <c r="O27" s="152"/>
    </row>
    <row r="28" spans="1:15" hidden="1">
      <c r="A28" s="137"/>
      <c r="B28" s="137"/>
      <c r="C28" s="92"/>
      <c r="D28" s="92"/>
      <c r="E28" s="92"/>
      <c r="F28" s="92"/>
      <c r="G28" s="137"/>
      <c r="H28" s="137"/>
      <c r="I28" s="137"/>
      <c r="J28" s="137"/>
      <c r="K28" s="150"/>
      <c r="L28" s="151"/>
      <c r="M28" s="151"/>
      <c r="N28" s="137"/>
      <c r="O28" s="152"/>
    </row>
    <row r="29" spans="1:15" hidden="1">
      <c r="A29" s="137"/>
      <c r="B29" s="137"/>
      <c r="C29" s="92"/>
      <c r="D29" s="92"/>
      <c r="E29" s="92"/>
      <c r="F29" s="92"/>
      <c r="G29" s="137"/>
      <c r="H29" s="137"/>
      <c r="I29" s="137"/>
      <c r="J29" s="137"/>
      <c r="K29" s="150"/>
      <c r="L29" s="151"/>
      <c r="M29" s="151"/>
      <c r="N29" s="137"/>
      <c r="O29" s="152"/>
    </row>
    <row r="30" spans="1:15" hidden="1">
      <c r="A30" s="137"/>
      <c r="B30" s="137"/>
      <c r="C30" s="92"/>
      <c r="D30" s="92"/>
      <c r="E30" s="92"/>
      <c r="F30" s="92"/>
      <c r="G30" s="137"/>
      <c r="H30" s="137"/>
      <c r="I30" s="137"/>
      <c r="J30" s="137"/>
      <c r="K30" s="150"/>
      <c r="L30" s="151"/>
      <c r="M30" s="151"/>
      <c r="N30" s="137"/>
      <c r="O30" s="152"/>
    </row>
    <row r="31" spans="1:15" hidden="1">
      <c r="A31" s="137"/>
      <c r="B31" s="137"/>
      <c r="C31" s="92"/>
      <c r="D31" s="92"/>
      <c r="E31" s="92"/>
      <c r="F31" s="92"/>
      <c r="G31" s="137"/>
      <c r="H31" s="137"/>
      <c r="I31" s="137"/>
      <c r="J31" s="137"/>
      <c r="K31" s="150"/>
      <c r="L31" s="151"/>
      <c r="M31" s="151"/>
      <c r="N31" s="137"/>
      <c r="O31" s="152"/>
    </row>
    <row r="32" spans="1:15" hidden="1">
      <c r="A32" s="137"/>
      <c r="B32" s="137"/>
      <c r="C32" s="92"/>
      <c r="D32" s="92"/>
      <c r="E32" s="92"/>
      <c r="F32" s="92"/>
      <c r="G32" s="137"/>
      <c r="H32" s="137"/>
      <c r="I32" s="137"/>
      <c r="J32" s="137"/>
      <c r="K32" s="150"/>
      <c r="L32" s="151"/>
      <c r="M32" s="151"/>
      <c r="N32" s="137"/>
    </row>
    <row r="33" spans="1:18" hidden="1">
      <c r="A33" s="137"/>
      <c r="B33" s="137"/>
      <c r="C33" s="92"/>
      <c r="D33" s="92"/>
      <c r="E33" s="92"/>
      <c r="F33" s="92"/>
      <c r="G33" s="137"/>
      <c r="H33" s="137"/>
      <c r="I33" s="137"/>
      <c r="J33" s="137"/>
      <c r="K33" s="150"/>
      <c r="L33" s="151"/>
      <c r="M33" s="151"/>
      <c r="N33" s="137"/>
      <c r="R33" s="137"/>
    </row>
    <row r="34" spans="1:18" hidden="1">
      <c r="A34" s="137"/>
      <c r="B34" s="137"/>
      <c r="C34" s="92"/>
      <c r="D34" s="92"/>
      <c r="E34" s="92"/>
      <c r="F34" s="92"/>
      <c r="G34" s="137"/>
      <c r="H34" s="137"/>
      <c r="I34" s="137"/>
      <c r="J34" s="137"/>
      <c r="K34" s="150"/>
      <c r="L34" s="151"/>
      <c r="M34" s="151"/>
      <c r="N34" s="137"/>
    </row>
    <row r="35" spans="1:18" hidden="1">
      <c r="A35" s="137"/>
      <c r="B35" s="137"/>
      <c r="C35" s="92"/>
      <c r="D35" s="92"/>
      <c r="E35" s="92"/>
      <c r="F35" s="92"/>
      <c r="G35" s="137"/>
      <c r="H35" s="137"/>
      <c r="I35" s="137"/>
      <c r="J35" s="137"/>
      <c r="K35" s="150"/>
      <c r="L35" s="151"/>
      <c r="M35" s="151"/>
      <c r="N35" s="137"/>
    </row>
    <row r="36" spans="1:18" hidden="1">
      <c r="A36" s="137"/>
      <c r="B36" s="137"/>
      <c r="C36" s="92"/>
      <c r="D36" s="92"/>
      <c r="E36" s="92"/>
      <c r="F36" s="92"/>
      <c r="G36" s="137"/>
      <c r="H36" s="137"/>
      <c r="I36" s="137"/>
      <c r="J36" s="137"/>
      <c r="K36" s="150"/>
      <c r="L36" s="151"/>
      <c r="M36" s="151"/>
      <c r="N36" s="137"/>
    </row>
    <row r="37" spans="1:18" hidden="1">
      <c r="A37" s="137"/>
      <c r="B37" s="137"/>
      <c r="C37" s="92"/>
      <c r="D37" s="92"/>
      <c r="E37" s="92"/>
      <c r="F37" s="92"/>
      <c r="G37" s="137"/>
      <c r="H37" s="137"/>
      <c r="I37" s="137"/>
      <c r="J37" s="137"/>
      <c r="K37" s="150"/>
      <c r="L37" s="151"/>
      <c r="M37" s="151"/>
      <c r="N37" s="137"/>
    </row>
    <row r="38" spans="1:18" hidden="1">
      <c r="A38" s="137"/>
      <c r="B38" s="137"/>
      <c r="C38" s="92"/>
      <c r="D38" s="92"/>
      <c r="E38" s="92"/>
      <c r="F38" s="92"/>
      <c r="G38" s="137"/>
      <c r="H38" s="137"/>
      <c r="I38" s="137"/>
      <c r="J38" s="137"/>
      <c r="K38" s="150"/>
      <c r="L38" s="151"/>
      <c r="M38" s="151"/>
      <c r="N38" s="137"/>
    </row>
    <row r="39" spans="1:18" hidden="1">
      <c r="A39" s="137"/>
      <c r="B39" s="137"/>
      <c r="C39" s="92"/>
      <c r="D39" s="92"/>
      <c r="E39" s="92"/>
      <c r="F39" s="92"/>
      <c r="G39" s="137"/>
      <c r="H39" s="137"/>
      <c r="I39" s="137"/>
      <c r="J39" s="137"/>
      <c r="K39" s="150"/>
      <c r="L39" s="151"/>
      <c r="M39" s="151"/>
      <c r="N39" s="137"/>
    </row>
    <row r="40" spans="1:18" hidden="1">
      <c r="A40" s="137"/>
      <c r="B40" s="137"/>
      <c r="C40" s="92"/>
      <c r="D40" s="92"/>
      <c r="E40" s="92"/>
      <c r="F40" s="92"/>
      <c r="G40" s="137"/>
      <c r="H40" s="137"/>
      <c r="I40" s="137"/>
      <c r="J40" s="137"/>
      <c r="K40" s="150"/>
      <c r="L40" s="151"/>
      <c r="M40" s="151"/>
      <c r="N40" s="137"/>
    </row>
    <row r="41" spans="1:18" hidden="1">
      <c r="A41" s="137"/>
      <c r="B41" s="137"/>
      <c r="C41" s="92"/>
      <c r="D41" s="92"/>
      <c r="E41" s="92"/>
      <c r="F41" s="92"/>
      <c r="G41" s="137"/>
      <c r="H41" s="137"/>
      <c r="I41" s="137"/>
      <c r="J41" s="137"/>
      <c r="K41" s="150"/>
      <c r="L41" s="151"/>
      <c r="M41" s="151"/>
      <c r="N41" s="137"/>
    </row>
    <row r="42" spans="1:18" hidden="1">
      <c r="A42" s="137"/>
      <c r="B42" s="137"/>
      <c r="C42" s="92"/>
      <c r="D42" s="92"/>
      <c r="E42" s="92"/>
      <c r="F42" s="92"/>
      <c r="G42" s="137"/>
      <c r="H42" s="137"/>
      <c r="I42" s="137"/>
      <c r="J42" s="137"/>
      <c r="K42" s="150"/>
      <c r="L42" s="151"/>
      <c r="M42" s="151"/>
      <c r="N42" s="137"/>
    </row>
    <row r="43" spans="1:18" hidden="1">
      <c r="A43" s="137"/>
      <c r="B43" s="137"/>
      <c r="C43" s="92"/>
      <c r="D43" s="92"/>
      <c r="E43" s="92"/>
      <c r="F43" s="92"/>
      <c r="G43" s="137"/>
      <c r="H43" s="137"/>
      <c r="I43" s="137"/>
      <c r="J43" s="137"/>
      <c r="K43" s="150"/>
      <c r="L43" s="151"/>
      <c r="M43" s="151"/>
      <c r="N43" s="137"/>
    </row>
    <row r="44" spans="1:18" hidden="1">
      <c r="A44" s="137"/>
      <c r="B44" s="137"/>
      <c r="C44" s="92"/>
      <c r="D44" s="92"/>
      <c r="E44" s="92"/>
      <c r="F44" s="92"/>
      <c r="G44" s="137"/>
      <c r="H44" s="137"/>
      <c r="I44" s="137"/>
      <c r="J44" s="137"/>
      <c r="K44" s="150"/>
      <c r="L44" s="151"/>
      <c r="M44" s="151"/>
      <c r="N44" s="137"/>
    </row>
    <row r="45" spans="1:18" hidden="1">
      <c r="A45" s="137"/>
      <c r="B45" s="137"/>
      <c r="C45" s="92"/>
      <c r="D45" s="92"/>
      <c r="E45" s="92"/>
      <c r="F45" s="92"/>
      <c r="G45" s="137"/>
      <c r="H45" s="137"/>
      <c r="I45" s="137"/>
      <c r="J45" s="137"/>
      <c r="K45" s="150"/>
      <c r="L45" s="151"/>
      <c r="M45" s="151"/>
      <c r="N45" s="137"/>
    </row>
    <row r="46" spans="1:18" ht="15" hidden="1" customHeight="1">
      <c r="A46" s="137"/>
      <c r="B46" s="137"/>
      <c r="C46" s="92"/>
      <c r="D46" s="92"/>
      <c r="E46" s="92"/>
      <c r="F46" s="92"/>
      <c r="G46" s="137"/>
      <c r="H46" s="137"/>
      <c r="I46" s="137"/>
      <c r="J46" s="137"/>
      <c r="K46" s="150"/>
      <c r="L46" s="151"/>
      <c r="M46" s="151"/>
      <c r="N46" s="137"/>
    </row>
    <row r="47" spans="1:18" ht="15" hidden="1" customHeight="1">
      <c r="A47" s="137"/>
      <c r="B47" s="137"/>
      <c r="C47" s="92"/>
      <c r="D47" s="92"/>
      <c r="E47" s="92"/>
      <c r="F47" s="92"/>
      <c r="G47" s="137"/>
      <c r="H47" s="137"/>
      <c r="I47" s="137"/>
      <c r="J47" s="137"/>
      <c r="K47" s="150"/>
      <c r="L47" s="151"/>
      <c r="M47" s="151"/>
      <c r="N47" s="137"/>
    </row>
    <row r="48" spans="1:18" ht="15" hidden="1" customHeight="1">
      <c r="A48" s="137"/>
      <c r="B48" s="137"/>
      <c r="C48" s="92"/>
      <c r="D48" s="92"/>
      <c r="E48" s="92"/>
      <c r="F48" s="92"/>
      <c r="G48" s="137"/>
      <c r="H48" s="137"/>
      <c r="I48" s="137"/>
      <c r="J48" s="137"/>
      <c r="K48" s="150"/>
      <c r="L48" s="151"/>
      <c r="M48" s="151"/>
      <c r="N48" s="137"/>
    </row>
    <row r="49" spans="1:15" ht="15" hidden="1" customHeight="1">
      <c r="A49" s="137"/>
      <c r="B49" s="137"/>
      <c r="C49" s="92"/>
      <c r="D49" s="92"/>
      <c r="E49" s="92"/>
      <c r="F49" s="92"/>
      <c r="G49" s="137"/>
      <c r="H49" s="137"/>
      <c r="I49" s="137"/>
      <c r="J49" s="137"/>
      <c r="K49" s="150"/>
      <c r="L49" s="151"/>
      <c r="M49" s="151"/>
      <c r="N49" s="137"/>
    </row>
    <row r="50" spans="1:15" ht="15" hidden="1" customHeight="1">
      <c r="A50" s="137"/>
      <c r="B50" s="137"/>
      <c r="C50" s="92"/>
      <c r="D50" s="92"/>
      <c r="E50" s="92"/>
      <c r="F50" s="92"/>
      <c r="G50" s="137"/>
      <c r="H50" s="137"/>
      <c r="I50" s="137"/>
      <c r="J50" s="137"/>
      <c r="K50" s="150"/>
      <c r="L50" s="151"/>
      <c r="M50" s="151"/>
      <c r="N50" s="137"/>
    </row>
    <row r="51" spans="1:15" ht="15" hidden="1" customHeight="1">
      <c r="A51" s="137"/>
      <c r="B51" s="137"/>
      <c r="C51" s="92"/>
      <c r="D51" s="92"/>
      <c r="E51" s="92"/>
      <c r="F51" s="92"/>
      <c r="G51" s="137"/>
      <c r="H51" s="137"/>
      <c r="I51" s="137"/>
      <c r="J51" s="137"/>
      <c r="K51" s="150"/>
      <c r="L51" s="151"/>
      <c r="M51" s="151"/>
      <c r="N51" s="137"/>
    </row>
    <row r="52" spans="1:15" ht="15" customHeight="1">
      <c r="A52" s="153"/>
      <c r="B52" s="153"/>
      <c r="C52" s="154"/>
      <c r="D52" s="154"/>
      <c r="E52" s="154"/>
      <c r="F52" s="154"/>
      <c r="G52" s="153"/>
      <c r="H52" s="153"/>
      <c r="I52" s="153"/>
      <c r="J52" s="153"/>
      <c r="K52" s="155"/>
      <c r="L52" s="156"/>
      <c r="M52" s="156">
        <f>SUM(M3:M51)</f>
        <v>5723.23</v>
      </c>
      <c r="N52" s="156">
        <f>SUM(N3:N51)</f>
        <v>0</v>
      </c>
    </row>
    <row r="53" spans="1:15" ht="15" customHeight="1">
      <c r="A53" s="157"/>
      <c r="B53" s="157" t="s">
        <v>78</v>
      </c>
      <c r="C53" s="92" t="s">
        <v>694</v>
      </c>
      <c r="D53" s="92" t="s">
        <v>461</v>
      </c>
      <c r="E53" s="92">
        <v>611021</v>
      </c>
      <c r="F53" s="92">
        <v>2210</v>
      </c>
      <c r="G53" s="137"/>
      <c r="H53" s="137">
        <v>1113</v>
      </c>
      <c r="I53" s="137" t="s">
        <v>695</v>
      </c>
      <c r="J53" s="137" t="s">
        <v>12</v>
      </c>
      <c r="K53" s="147">
        <v>1</v>
      </c>
      <c r="L53" s="148">
        <v>5083.2299999999996</v>
      </c>
      <c r="M53" s="148">
        <v>5083.2299999999996</v>
      </c>
      <c r="N53" s="148" t="s">
        <v>458</v>
      </c>
    </row>
    <row r="54" spans="1:15" ht="15" customHeight="1">
      <c r="A54" s="153"/>
      <c r="B54" s="153"/>
      <c r="C54" s="154"/>
      <c r="D54" s="154"/>
      <c r="E54" s="154"/>
      <c r="F54" s="154"/>
      <c r="G54" s="153"/>
      <c r="H54" s="153"/>
      <c r="I54" s="153"/>
      <c r="J54" s="153"/>
      <c r="K54" s="155"/>
      <c r="L54" s="156"/>
      <c r="M54" s="156">
        <f>SUM(M53)</f>
        <v>5083.2299999999996</v>
      </c>
      <c r="N54" s="153"/>
    </row>
    <row r="55" spans="1:15" ht="15" customHeight="1">
      <c r="A55" s="137">
        <v>1</v>
      </c>
      <c r="B55" s="137" t="s">
        <v>31</v>
      </c>
      <c r="C55" s="92" t="s">
        <v>694</v>
      </c>
      <c r="D55" s="92" t="s">
        <v>461</v>
      </c>
      <c r="E55" s="92">
        <v>611021</v>
      </c>
      <c r="F55" s="92">
        <v>2210</v>
      </c>
      <c r="G55" s="137"/>
      <c r="H55" s="137">
        <v>1113</v>
      </c>
      <c r="I55" s="137" t="s">
        <v>695</v>
      </c>
      <c r="J55" s="137" t="s">
        <v>12</v>
      </c>
      <c r="K55" s="147">
        <v>1</v>
      </c>
      <c r="L55" s="148">
        <v>5083.2299999999996</v>
      </c>
      <c r="M55" s="148">
        <v>5083.2299999999996</v>
      </c>
      <c r="N55" s="148" t="s">
        <v>458</v>
      </c>
      <c r="O55" s="149" t="s">
        <v>708</v>
      </c>
    </row>
    <row r="56" spans="1:15" ht="15" customHeight="1">
      <c r="A56" s="137">
        <v>2</v>
      </c>
      <c r="B56" s="137" t="s">
        <v>31</v>
      </c>
      <c r="C56" s="92" t="s">
        <v>562</v>
      </c>
      <c r="D56" s="92" t="s">
        <v>258</v>
      </c>
      <c r="E56" s="92">
        <v>611021</v>
      </c>
      <c r="F56" s="92">
        <v>2210</v>
      </c>
      <c r="G56" s="137"/>
      <c r="H56" s="137">
        <v>1513</v>
      </c>
      <c r="I56" s="137" t="s">
        <v>696</v>
      </c>
      <c r="J56" s="137" t="s">
        <v>12</v>
      </c>
      <c r="K56" s="147">
        <v>20</v>
      </c>
      <c r="L56" s="148">
        <v>220.15</v>
      </c>
      <c r="M56" s="148">
        <v>4403</v>
      </c>
      <c r="N56" s="148" t="s">
        <v>458</v>
      </c>
      <c r="O56" s="152">
        <f>M56+M62+M103+M107+M128+M131+M137+M143+M150+M159+M166</f>
        <v>107653.35</v>
      </c>
    </row>
    <row r="57" spans="1:15" ht="15" customHeight="1">
      <c r="A57" s="137">
        <v>3</v>
      </c>
      <c r="B57" s="137" t="s">
        <v>31</v>
      </c>
      <c r="C57" s="92" t="s">
        <v>562</v>
      </c>
      <c r="D57" s="92" t="s">
        <v>258</v>
      </c>
      <c r="E57" s="92">
        <v>611021</v>
      </c>
      <c r="F57" s="92">
        <v>2210</v>
      </c>
      <c r="G57" s="137"/>
      <c r="H57" s="137">
        <v>1513</v>
      </c>
      <c r="I57" s="137" t="s">
        <v>697</v>
      </c>
      <c r="J57" s="137" t="s">
        <v>12</v>
      </c>
      <c r="K57" s="147">
        <v>15</v>
      </c>
      <c r="L57" s="148">
        <v>1665</v>
      </c>
      <c r="M57" s="148">
        <v>24975</v>
      </c>
      <c r="N57" s="148" t="s">
        <v>458</v>
      </c>
      <c r="O57" s="149" t="s">
        <v>709</v>
      </c>
    </row>
    <row r="58" spans="1:15">
      <c r="A58" s="153"/>
      <c r="B58" s="153"/>
      <c r="C58" s="154"/>
      <c r="D58" s="154"/>
      <c r="E58" s="154"/>
      <c r="F58" s="154"/>
      <c r="G58" s="153"/>
      <c r="H58" s="153"/>
      <c r="I58" s="153" t="s">
        <v>14</v>
      </c>
      <c r="J58" s="153"/>
      <c r="K58" s="155"/>
      <c r="L58" s="156"/>
      <c r="M58" s="156">
        <f>SUM(M55:M57)</f>
        <v>34461.229999999996</v>
      </c>
      <c r="N58" s="156">
        <f>SUM(N55:N57)</f>
        <v>0</v>
      </c>
      <c r="O58" s="152">
        <f>M57+M63+M104+M108+M132+M138+M144+M151+M160+M167</f>
        <v>289710</v>
      </c>
    </row>
    <row r="59" spans="1:15" ht="45">
      <c r="A59" s="137">
        <v>3</v>
      </c>
      <c r="B59" s="137" t="s">
        <v>104</v>
      </c>
      <c r="C59" s="92" t="s">
        <v>694</v>
      </c>
      <c r="D59" s="92" t="s">
        <v>461</v>
      </c>
      <c r="E59" s="92">
        <v>611021</v>
      </c>
      <c r="F59" s="92">
        <v>2210</v>
      </c>
      <c r="G59" s="137"/>
      <c r="H59" s="137">
        <v>1113</v>
      </c>
      <c r="I59" s="137" t="s">
        <v>695</v>
      </c>
      <c r="J59" s="137" t="s">
        <v>12</v>
      </c>
      <c r="K59" s="147">
        <v>1</v>
      </c>
      <c r="L59" s="148">
        <v>5083.2299999999996</v>
      </c>
      <c r="M59" s="148">
        <v>5083.2299999999996</v>
      </c>
      <c r="N59" s="148" t="s">
        <v>458</v>
      </c>
    </row>
    <row r="60" spans="1:15">
      <c r="A60" s="153"/>
      <c r="B60" s="153"/>
      <c r="C60" s="154"/>
      <c r="D60" s="154"/>
      <c r="E60" s="154"/>
      <c r="F60" s="154"/>
      <c r="G60" s="153"/>
      <c r="H60" s="153"/>
      <c r="I60" s="153" t="s">
        <v>14</v>
      </c>
      <c r="J60" s="153"/>
      <c r="K60" s="155"/>
      <c r="L60" s="156"/>
      <c r="M60" s="156">
        <f>SUM(M59:M59)</f>
        <v>5083.2299999999996</v>
      </c>
      <c r="N60" s="153"/>
    </row>
    <row r="61" spans="1:15" ht="45">
      <c r="A61" s="157">
        <v>1</v>
      </c>
      <c r="B61" s="157" t="s">
        <v>35</v>
      </c>
      <c r="C61" s="92" t="s">
        <v>694</v>
      </c>
      <c r="D61" s="92" t="s">
        <v>461</v>
      </c>
      <c r="E61" s="92">
        <v>611021</v>
      </c>
      <c r="F61" s="92">
        <v>2210</v>
      </c>
      <c r="G61" s="137"/>
      <c r="H61" s="137">
        <v>1113</v>
      </c>
      <c r="I61" s="137" t="s">
        <v>695</v>
      </c>
      <c r="J61" s="137" t="s">
        <v>12</v>
      </c>
      <c r="K61" s="147">
        <v>1</v>
      </c>
      <c r="L61" s="148">
        <v>5083.2299999999996</v>
      </c>
      <c r="M61" s="148">
        <v>5083.2299999999996</v>
      </c>
      <c r="N61" s="148" t="s">
        <v>458</v>
      </c>
    </row>
    <row r="62" spans="1:15">
      <c r="A62" s="157"/>
      <c r="B62" s="157" t="s">
        <v>35</v>
      </c>
      <c r="C62" s="92" t="s">
        <v>562</v>
      </c>
      <c r="D62" s="92" t="s">
        <v>258</v>
      </c>
      <c r="E62" s="92">
        <v>611021</v>
      </c>
      <c r="F62" s="92">
        <v>2210</v>
      </c>
      <c r="G62" s="137"/>
      <c r="H62" s="137">
        <v>1513</v>
      </c>
      <c r="I62" s="137" t="s">
        <v>696</v>
      </c>
      <c r="J62" s="137" t="s">
        <v>12</v>
      </c>
      <c r="K62" s="147">
        <v>20</v>
      </c>
      <c r="L62" s="148">
        <v>220.15</v>
      </c>
      <c r="M62" s="148">
        <v>4403</v>
      </c>
      <c r="N62" s="148"/>
    </row>
    <row r="63" spans="1:15">
      <c r="A63" s="157"/>
      <c r="B63" s="157" t="s">
        <v>35</v>
      </c>
      <c r="C63" s="92" t="s">
        <v>562</v>
      </c>
      <c r="D63" s="92" t="s">
        <v>258</v>
      </c>
      <c r="E63" s="92">
        <v>611021</v>
      </c>
      <c r="F63" s="92">
        <v>2210</v>
      </c>
      <c r="G63" s="137"/>
      <c r="H63" s="137">
        <v>1513</v>
      </c>
      <c r="I63" s="137" t="s">
        <v>697</v>
      </c>
      <c r="J63" s="137" t="s">
        <v>12</v>
      </c>
      <c r="K63" s="147">
        <v>10</v>
      </c>
      <c r="L63" s="148">
        <v>1665</v>
      </c>
      <c r="M63" s="148">
        <v>16650</v>
      </c>
      <c r="N63" s="148"/>
    </row>
    <row r="64" spans="1:15">
      <c r="A64" s="153"/>
      <c r="B64" s="153"/>
      <c r="C64" s="154"/>
      <c r="D64" s="154"/>
      <c r="E64" s="154"/>
      <c r="F64" s="154"/>
      <c r="G64" s="153"/>
      <c r="H64" s="153"/>
      <c r="I64" s="153" t="s">
        <v>14</v>
      </c>
      <c r="J64" s="153"/>
      <c r="K64" s="155"/>
      <c r="L64" s="156"/>
      <c r="M64" s="156">
        <f>SUM(M61:M63)</f>
        <v>26136.23</v>
      </c>
      <c r="N64" s="153"/>
    </row>
    <row r="65" spans="1:14">
      <c r="A65" s="157">
        <v>1</v>
      </c>
      <c r="B65" s="157" t="s">
        <v>36</v>
      </c>
      <c r="C65" s="92" t="s">
        <v>647</v>
      </c>
      <c r="D65" s="92" t="s">
        <v>647</v>
      </c>
      <c r="E65" s="92">
        <v>611021</v>
      </c>
      <c r="F65" s="92">
        <v>2210</v>
      </c>
      <c r="G65" s="137"/>
      <c r="H65" s="137">
        <v>1513</v>
      </c>
      <c r="I65" s="137" t="s">
        <v>648</v>
      </c>
      <c r="J65" s="137" t="s">
        <v>578</v>
      </c>
      <c r="K65" s="147">
        <v>3</v>
      </c>
      <c r="L65" s="148"/>
      <c r="M65" s="148">
        <v>12185.5</v>
      </c>
      <c r="N65" s="148" t="s">
        <v>458</v>
      </c>
    </row>
    <row r="66" spans="1:14">
      <c r="A66" s="157">
        <v>2</v>
      </c>
      <c r="B66" s="157" t="s">
        <v>36</v>
      </c>
      <c r="C66" s="92" t="s">
        <v>562</v>
      </c>
      <c r="D66" s="92" t="s">
        <v>691</v>
      </c>
      <c r="E66" s="92">
        <v>617520</v>
      </c>
      <c r="F66" s="92">
        <v>2210</v>
      </c>
      <c r="G66" s="137"/>
      <c r="H66" s="137">
        <v>1113</v>
      </c>
      <c r="I66" s="137" t="s">
        <v>692</v>
      </c>
      <c r="J66" s="137" t="s">
        <v>12</v>
      </c>
      <c r="K66" s="147">
        <v>10</v>
      </c>
      <c r="L66" s="148">
        <v>7984</v>
      </c>
      <c r="M66" s="148">
        <v>79840</v>
      </c>
      <c r="N66" s="148" t="s">
        <v>458</v>
      </c>
    </row>
    <row r="67" spans="1:14">
      <c r="A67" s="157">
        <v>3</v>
      </c>
      <c r="B67" s="157" t="s">
        <v>36</v>
      </c>
      <c r="C67" s="92" t="s">
        <v>562</v>
      </c>
      <c r="D67" s="92" t="s">
        <v>691</v>
      </c>
      <c r="E67" s="92">
        <v>617520</v>
      </c>
      <c r="F67" s="92">
        <v>2210</v>
      </c>
      <c r="G67" s="137"/>
      <c r="H67" s="137">
        <v>1113</v>
      </c>
      <c r="I67" s="137" t="s">
        <v>693</v>
      </c>
      <c r="J67" s="137" t="s">
        <v>12</v>
      </c>
      <c r="K67" s="147">
        <v>4</v>
      </c>
      <c r="L67" s="148">
        <v>7984</v>
      </c>
      <c r="M67" s="148">
        <v>31936</v>
      </c>
      <c r="N67" s="148" t="s">
        <v>458</v>
      </c>
    </row>
    <row r="68" spans="1:14" ht="45">
      <c r="A68" s="157"/>
      <c r="B68" s="157"/>
      <c r="C68" s="92" t="s">
        <v>694</v>
      </c>
      <c r="D68" s="92" t="s">
        <v>461</v>
      </c>
      <c r="E68" s="92">
        <v>611021</v>
      </c>
      <c r="F68" s="92">
        <v>2210</v>
      </c>
      <c r="G68" s="137"/>
      <c r="H68" s="137">
        <v>1113</v>
      </c>
      <c r="I68" s="137" t="s">
        <v>695</v>
      </c>
      <c r="J68" s="137" t="s">
        <v>12</v>
      </c>
      <c r="K68" s="147">
        <v>1</v>
      </c>
      <c r="L68" s="148">
        <v>5083.2299999999996</v>
      </c>
      <c r="M68" s="148">
        <v>5083.2299999999996</v>
      </c>
      <c r="N68" s="148"/>
    </row>
    <row r="69" spans="1:14">
      <c r="A69" s="153"/>
      <c r="B69" s="153"/>
      <c r="C69" s="154"/>
      <c r="D69" s="154"/>
      <c r="E69" s="154"/>
      <c r="F69" s="154"/>
      <c r="G69" s="153"/>
      <c r="H69" s="153"/>
      <c r="I69" s="153" t="s">
        <v>14</v>
      </c>
      <c r="J69" s="153"/>
      <c r="K69" s="155"/>
      <c r="L69" s="156"/>
      <c r="M69" s="156">
        <f>SUM(M65:M68)</f>
        <v>129044.73</v>
      </c>
      <c r="N69" s="153">
        <f>SUM(N65:N67)</f>
        <v>0</v>
      </c>
    </row>
    <row r="70" spans="1:14">
      <c r="A70" s="157">
        <v>1</v>
      </c>
      <c r="B70" s="157" t="s">
        <v>56</v>
      </c>
      <c r="C70" s="92" t="s">
        <v>247</v>
      </c>
      <c r="D70" s="92" t="s">
        <v>247</v>
      </c>
      <c r="E70" s="92">
        <v>611021</v>
      </c>
      <c r="F70" s="92">
        <v>2210</v>
      </c>
      <c r="G70" s="137"/>
      <c r="H70" s="137">
        <v>1513</v>
      </c>
      <c r="I70" s="137" t="s">
        <v>649</v>
      </c>
      <c r="J70" s="137" t="s">
        <v>578</v>
      </c>
      <c r="K70" s="147">
        <v>1</v>
      </c>
      <c r="L70" s="148">
        <v>750</v>
      </c>
      <c r="M70" s="148">
        <v>750</v>
      </c>
      <c r="N70" s="148" t="s">
        <v>458</v>
      </c>
    </row>
    <row r="71" spans="1:14">
      <c r="A71" s="157">
        <v>2</v>
      </c>
      <c r="B71" s="157" t="s">
        <v>56</v>
      </c>
      <c r="C71" s="92" t="s">
        <v>247</v>
      </c>
      <c r="D71" s="92" t="s">
        <v>247</v>
      </c>
      <c r="E71" s="92">
        <v>611021</v>
      </c>
      <c r="F71" s="92">
        <v>2210</v>
      </c>
      <c r="G71" s="137"/>
      <c r="H71" s="137">
        <v>1513</v>
      </c>
      <c r="I71" s="137" t="s">
        <v>650</v>
      </c>
      <c r="J71" s="137" t="s">
        <v>578</v>
      </c>
      <c r="K71" s="147">
        <v>7</v>
      </c>
      <c r="L71" s="148">
        <v>500</v>
      </c>
      <c r="M71" s="148">
        <v>3500</v>
      </c>
      <c r="N71" s="148" t="s">
        <v>458</v>
      </c>
    </row>
    <row r="72" spans="1:14">
      <c r="A72" s="157">
        <v>3</v>
      </c>
      <c r="B72" s="157" t="s">
        <v>56</v>
      </c>
      <c r="C72" s="92" t="s">
        <v>247</v>
      </c>
      <c r="D72" s="92" t="s">
        <v>247</v>
      </c>
      <c r="E72" s="92">
        <v>611021</v>
      </c>
      <c r="F72" s="92">
        <v>2210</v>
      </c>
      <c r="G72" s="137"/>
      <c r="H72" s="137">
        <v>1513</v>
      </c>
      <c r="I72" s="157" t="s">
        <v>38</v>
      </c>
      <c r="J72" s="157" t="s">
        <v>27</v>
      </c>
      <c r="K72" s="150">
        <v>975</v>
      </c>
      <c r="L72" s="151">
        <v>5.6</v>
      </c>
      <c r="M72" s="151">
        <v>5460</v>
      </c>
      <c r="N72" s="148" t="s">
        <v>458</v>
      </c>
    </row>
    <row r="73" spans="1:14">
      <c r="A73" s="157">
        <v>4</v>
      </c>
      <c r="B73" s="157" t="s">
        <v>56</v>
      </c>
      <c r="C73" s="92" t="s">
        <v>247</v>
      </c>
      <c r="D73" s="92" t="s">
        <v>247</v>
      </c>
      <c r="E73" s="92">
        <v>611021</v>
      </c>
      <c r="F73" s="92">
        <v>2210</v>
      </c>
      <c r="G73" s="137"/>
      <c r="H73" s="137">
        <v>1513</v>
      </c>
      <c r="I73" s="92" t="s">
        <v>651</v>
      </c>
      <c r="J73" s="157" t="s">
        <v>27</v>
      </c>
      <c r="K73" s="147">
        <v>84</v>
      </c>
      <c r="L73" s="148">
        <v>65</v>
      </c>
      <c r="M73" s="148">
        <v>5460</v>
      </c>
      <c r="N73" s="148" t="s">
        <v>458</v>
      </c>
    </row>
    <row r="74" spans="1:14">
      <c r="A74" s="157">
        <v>5</v>
      </c>
      <c r="B74" s="157" t="s">
        <v>56</v>
      </c>
      <c r="C74" s="92" t="s">
        <v>247</v>
      </c>
      <c r="D74" s="92" t="s">
        <v>247</v>
      </c>
      <c r="E74" s="92">
        <v>611021</v>
      </c>
      <c r="F74" s="92">
        <v>2210</v>
      </c>
      <c r="G74" s="137"/>
      <c r="H74" s="137">
        <v>1513</v>
      </c>
      <c r="I74" s="92" t="s">
        <v>652</v>
      </c>
      <c r="J74" s="157" t="s">
        <v>27</v>
      </c>
      <c r="K74" s="147">
        <v>100</v>
      </c>
      <c r="L74" s="148">
        <v>16</v>
      </c>
      <c r="M74" s="148">
        <v>1600</v>
      </c>
      <c r="N74" s="148" t="s">
        <v>458</v>
      </c>
    </row>
    <row r="75" spans="1:14">
      <c r="A75" s="157">
        <v>7</v>
      </c>
      <c r="B75" s="157" t="s">
        <v>56</v>
      </c>
      <c r="C75" s="92" t="s">
        <v>247</v>
      </c>
      <c r="D75" s="92" t="s">
        <v>247</v>
      </c>
      <c r="E75" s="92">
        <v>611021</v>
      </c>
      <c r="F75" s="92">
        <v>2210</v>
      </c>
      <c r="G75" s="137"/>
      <c r="H75" s="137">
        <v>1513</v>
      </c>
      <c r="I75" s="92" t="s">
        <v>653</v>
      </c>
      <c r="J75" s="157" t="s">
        <v>92</v>
      </c>
      <c r="K75" s="147">
        <v>80</v>
      </c>
      <c r="L75" s="148">
        <v>30</v>
      </c>
      <c r="M75" s="148">
        <v>2400</v>
      </c>
      <c r="N75" s="148" t="s">
        <v>458</v>
      </c>
    </row>
    <row r="76" spans="1:14">
      <c r="A76" s="157">
        <v>8</v>
      </c>
      <c r="B76" s="157" t="s">
        <v>56</v>
      </c>
      <c r="C76" s="92" t="s">
        <v>247</v>
      </c>
      <c r="D76" s="92" t="s">
        <v>247</v>
      </c>
      <c r="E76" s="92">
        <v>611021</v>
      </c>
      <c r="F76" s="92">
        <v>2210</v>
      </c>
      <c r="G76" s="137"/>
      <c r="H76" s="137">
        <v>1513</v>
      </c>
      <c r="I76" s="92" t="s">
        <v>654</v>
      </c>
      <c r="J76" s="157" t="s">
        <v>12</v>
      </c>
      <c r="K76" s="147">
        <v>12</v>
      </c>
      <c r="L76" s="148">
        <v>55</v>
      </c>
      <c r="M76" s="148">
        <v>660</v>
      </c>
      <c r="N76" s="148" t="s">
        <v>458</v>
      </c>
    </row>
    <row r="77" spans="1:14">
      <c r="A77" s="157">
        <v>9</v>
      </c>
      <c r="B77" s="157" t="s">
        <v>56</v>
      </c>
      <c r="C77" s="92" t="s">
        <v>247</v>
      </c>
      <c r="D77" s="92" t="s">
        <v>247</v>
      </c>
      <c r="E77" s="92">
        <v>611021</v>
      </c>
      <c r="F77" s="92">
        <v>2210</v>
      </c>
      <c r="G77" s="137"/>
      <c r="H77" s="137">
        <v>1513</v>
      </c>
      <c r="I77" s="92" t="s">
        <v>655</v>
      </c>
      <c r="J77" s="157" t="s">
        <v>27</v>
      </c>
      <c r="K77" s="147">
        <v>50</v>
      </c>
      <c r="L77" s="148">
        <v>179</v>
      </c>
      <c r="M77" s="148">
        <v>8950</v>
      </c>
      <c r="N77" s="148" t="s">
        <v>458</v>
      </c>
    </row>
    <row r="78" spans="1:14">
      <c r="A78" s="157">
        <v>10</v>
      </c>
      <c r="B78" s="157" t="s">
        <v>56</v>
      </c>
      <c r="C78" s="92" t="s">
        <v>247</v>
      </c>
      <c r="D78" s="92" t="s">
        <v>247</v>
      </c>
      <c r="E78" s="92">
        <v>611021</v>
      </c>
      <c r="F78" s="92">
        <v>2210</v>
      </c>
      <c r="G78" s="137"/>
      <c r="H78" s="137">
        <v>1513</v>
      </c>
      <c r="I78" s="92" t="s">
        <v>656</v>
      </c>
      <c r="J78" s="157" t="s">
        <v>27</v>
      </c>
      <c r="K78" s="147">
        <v>100</v>
      </c>
      <c r="L78" s="148">
        <v>20</v>
      </c>
      <c r="M78" s="148">
        <v>2000</v>
      </c>
      <c r="N78" s="148" t="s">
        <v>458</v>
      </c>
    </row>
    <row r="79" spans="1:14">
      <c r="A79" s="157">
        <v>11</v>
      </c>
      <c r="B79" s="157" t="s">
        <v>56</v>
      </c>
      <c r="C79" s="92" t="s">
        <v>247</v>
      </c>
      <c r="D79" s="92" t="s">
        <v>247</v>
      </c>
      <c r="E79" s="92">
        <v>611021</v>
      </c>
      <c r="F79" s="92">
        <v>2210</v>
      </c>
      <c r="G79" s="137"/>
      <c r="H79" s="137">
        <v>1513</v>
      </c>
      <c r="I79" s="92" t="s">
        <v>377</v>
      </c>
      <c r="J79" s="157" t="s">
        <v>27</v>
      </c>
      <c r="K79" s="147">
        <v>11.2</v>
      </c>
      <c r="L79" s="148">
        <v>90</v>
      </c>
      <c r="M79" s="148">
        <v>1008</v>
      </c>
      <c r="N79" s="148" t="s">
        <v>458</v>
      </c>
    </row>
    <row r="80" spans="1:14">
      <c r="A80" s="157">
        <v>12</v>
      </c>
      <c r="B80" s="157" t="s">
        <v>56</v>
      </c>
      <c r="C80" s="92" t="s">
        <v>247</v>
      </c>
      <c r="D80" s="92" t="s">
        <v>247</v>
      </c>
      <c r="E80" s="92">
        <v>611021</v>
      </c>
      <c r="F80" s="92">
        <v>2210</v>
      </c>
      <c r="G80" s="137"/>
      <c r="H80" s="137">
        <v>1513</v>
      </c>
      <c r="I80" s="92" t="s">
        <v>93</v>
      </c>
      <c r="J80" s="157" t="s">
        <v>385</v>
      </c>
      <c r="K80" s="147">
        <v>2</v>
      </c>
      <c r="L80" s="148">
        <v>220</v>
      </c>
      <c r="M80" s="148">
        <v>440</v>
      </c>
      <c r="N80" s="148" t="s">
        <v>458</v>
      </c>
    </row>
    <row r="81" spans="1:14">
      <c r="A81" s="157">
        <v>13</v>
      </c>
      <c r="B81" s="157" t="s">
        <v>56</v>
      </c>
      <c r="C81" s="92" t="s">
        <v>247</v>
      </c>
      <c r="D81" s="92" t="s">
        <v>247</v>
      </c>
      <c r="E81" s="92">
        <v>611021</v>
      </c>
      <c r="F81" s="92">
        <v>2210</v>
      </c>
      <c r="G81" s="137"/>
      <c r="H81" s="137">
        <v>1513</v>
      </c>
      <c r="I81" s="92" t="s">
        <v>657</v>
      </c>
      <c r="J81" s="157" t="s">
        <v>385</v>
      </c>
      <c r="K81" s="147">
        <v>5</v>
      </c>
      <c r="L81" s="148">
        <v>207</v>
      </c>
      <c r="M81" s="148">
        <v>1035</v>
      </c>
      <c r="N81" s="148" t="s">
        <v>458</v>
      </c>
    </row>
    <row r="82" spans="1:14">
      <c r="A82" s="157">
        <v>14</v>
      </c>
      <c r="B82" s="157" t="s">
        <v>56</v>
      </c>
      <c r="C82" s="92" t="s">
        <v>247</v>
      </c>
      <c r="D82" s="92" t="s">
        <v>247</v>
      </c>
      <c r="E82" s="92">
        <v>611021</v>
      </c>
      <c r="F82" s="92">
        <v>2210</v>
      </c>
      <c r="G82" s="137"/>
      <c r="H82" s="137">
        <v>1513</v>
      </c>
      <c r="I82" s="92" t="s">
        <v>658</v>
      </c>
      <c r="J82" s="157" t="s">
        <v>92</v>
      </c>
      <c r="K82" s="147">
        <v>5</v>
      </c>
      <c r="L82" s="148">
        <v>85</v>
      </c>
      <c r="M82" s="148">
        <v>425</v>
      </c>
      <c r="N82" s="148" t="s">
        <v>458</v>
      </c>
    </row>
    <row r="83" spans="1:14">
      <c r="A83" s="157"/>
      <c r="B83" s="157" t="s">
        <v>56</v>
      </c>
      <c r="C83" s="92" t="s">
        <v>247</v>
      </c>
      <c r="D83" s="92" t="s">
        <v>247</v>
      </c>
      <c r="E83" s="92">
        <v>611021</v>
      </c>
      <c r="F83" s="92">
        <v>2210</v>
      </c>
      <c r="G83" s="137"/>
      <c r="H83" s="137">
        <v>1514</v>
      </c>
      <c r="I83" s="92" t="s">
        <v>659</v>
      </c>
      <c r="J83" s="157" t="s">
        <v>660</v>
      </c>
      <c r="K83" s="147">
        <v>1</v>
      </c>
      <c r="L83" s="148">
        <v>300</v>
      </c>
      <c r="M83" s="148">
        <v>300</v>
      </c>
      <c r="N83" s="148"/>
    </row>
    <row r="84" spans="1:14">
      <c r="A84" s="157"/>
      <c r="B84" s="157" t="s">
        <v>56</v>
      </c>
      <c r="C84" s="92" t="s">
        <v>247</v>
      </c>
      <c r="D84" s="92" t="s">
        <v>247</v>
      </c>
      <c r="E84" s="92">
        <v>611021</v>
      </c>
      <c r="F84" s="92">
        <v>2210</v>
      </c>
      <c r="G84" s="137"/>
      <c r="H84" s="137" t="s">
        <v>11</v>
      </c>
      <c r="I84" s="92" t="s">
        <v>661</v>
      </c>
      <c r="J84" s="157" t="s">
        <v>12</v>
      </c>
      <c r="K84" s="147">
        <v>1</v>
      </c>
      <c r="L84" s="148">
        <v>270</v>
      </c>
      <c r="M84" s="148">
        <v>270</v>
      </c>
      <c r="N84" s="148"/>
    </row>
    <row r="85" spans="1:14">
      <c r="A85" s="157"/>
      <c r="B85" s="157" t="s">
        <v>56</v>
      </c>
      <c r="C85" s="92" t="s">
        <v>247</v>
      </c>
      <c r="D85" s="92" t="s">
        <v>247</v>
      </c>
      <c r="E85" s="92">
        <v>611021</v>
      </c>
      <c r="F85" s="92">
        <v>2210</v>
      </c>
      <c r="G85" s="137"/>
      <c r="H85" s="137" t="s">
        <v>11</v>
      </c>
      <c r="I85" s="92" t="s">
        <v>662</v>
      </c>
      <c r="J85" s="157" t="s">
        <v>12</v>
      </c>
      <c r="K85" s="147">
        <v>8</v>
      </c>
      <c r="L85" s="148">
        <v>55</v>
      </c>
      <c r="M85" s="148">
        <v>440</v>
      </c>
      <c r="N85" s="148"/>
    </row>
    <row r="86" spans="1:14">
      <c r="A86" s="157"/>
      <c r="B86" s="157" t="s">
        <v>56</v>
      </c>
      <c r="C86" s="92" t="s">
        <v>247</v>
      </c>
      <c r="D86" s="92" t="s">
        <v>247</v>
      </c>
      <c r="E86" s="92">
        <v>611021</v>
      </c>
      <c r="F86" s="92">
        <v>2210</v>
      </c>
      <c r="G86" s="137"/>
      <c r="H86" s="137" t="s">
        <v>11</v>
      </c>
      <c r="I86" s="92" t="s">
        <v>663</v>
      </c>
      <c r="J86" s="157" t="s">
        <v>12</v>
      </c>
      <c r="K86" s="147">
        <v>1</v>
      </c>
      <c r="L86" s="148">
        <v>140</v>
      </c>
      <c r="M86" s="148">
        <v>140</v>
      </c>
      <c r="N86" s="148"/>
    </row>
    <row r="87" spans="1:14">
      <c r="A87" s="157"/>
      <c r="B87" s="157" t="s">
        <v>56</v>
      </c>
      <c r="C87" s="92" t="s">
        <v>247</v>
      </c>
      <c r="D87" s="92" t="s">
        <v>247</v>
      </c>
      <c r="E87" s="92">
        <v>611021</v>
      </c>
      <c r="F87" s="92">
        <v>2210</v>
      </c>
      <c r="G87" s="137"/>
      <c r="H87" s="137" t="s">
        <v>11</v>
      </c>
      <c r="I87" s="92" t="s">
        <v>664</v>
      </c>
      <c r="J87" s="157" t="s">
        <v>12</v>
      </c>
      <c r="K87" s="147">
        <v>15</v>
      </c>
      <c r="L87" s="148">
        <v>42</v>
      </c>
      <c r="M87" s="148">
        <v>630</v>
      </c>
      <c r="N87" s="148"/>
    </row>
    <row r="88" spans="1:14">
      <c r="A88" s="157"/>
      <c r="B88" s="157" t="s">
        <v>56</v>
      </c>
      <c r="C88" s="92" t="s">
        <v>247</v>
      </c>
      <c r="D88" s="92" t="s">
        <v>247</v>
      </c>
      <c r="E88" s="92">
        <v>611021</v>
      </c>
      <c r="F88" s="92">
        <v>2210</v>
      </c>
      <c r="G88" s="137"/>
      <c r="H88" s="137" t="s">
        <v>11</v>
      </c>
      <c r="I88" s="92" t="s">
        <v>665</v>
      </c>
      <c r="J88" s="157" t="s">
        <v>12</v>
      </c>
      <c r="K88" s="147">
        <v>3</v>
      </c>
      <c r="L88" s="148">
        <v>480</v>
      </c>
      <c r="M88" s="148">
        <v>1440</v>
      </c>
      <c r="N88" s="148"/>
    </row>
    <row r="89" spans="1:14">
      <c r="A89" s="157"/>
      <c r="B89" s="157" t="s">
        <v>56</v>
      </c>
      <c r="C89" s="92" t="s">
        <v>247</v>
      </c>
      <c r="D89" s="92" t="s">
        <v>247</v>
      </c>
      <c r="E89" s="92">
        <v>611021</v>
      </c>
      <c r="F89" s="92">
        <v>2210</v>
      </c>
      <c r="G89" s="137"/>
      <c r="H89" s="137" t="s">
        <v>11</v>
      </c>
      <c r="I89" s="92" t="s">
        <v>666</v>
      </c>
      <c r="J89" s="157" t="s">
        <v>12</v>
      </c>
      <c r="K89" s="147">
        <v>1</v>
      </c>
      <c r="L89" s="148">
        <v>400</v>
      </c>
      <c r="M89" s="148">
        <v>400</v>
      </c>
      <c r="N89" s="148"/>
    </row>
    <row r="90" spans="1:14">
      <c r="A90" s="157"/>
      <c r="B90" s="157" t="s">
        <v>56</v>
      </c>
      <c r="C90" s="92" t="s">
        <v>247</v>
      </c>
      <c r="D90" s="92" t="s">
        <v>247</v>
      </c>
      <c r="E90" s="92">
        <v>611021</v>
      </c>
      <c r="F90" s="92">
        <v>2210</v>
      </c>
      <c r="G90" s="137"/>
      <c r="H90" s="137" t="s">
        <v>11</v>
      </c>
      <c r="I90" s="92" t="s">
        <v>667</v>
      </c>
      <c r="J90" s="157" t="s">
        <v>12</v>
      </c>
      <c r="K90" s="147">
        <v>1</v>
      </c>
      <c r="L90" s="148">
        <v>700</v>
      </c>
      <c r="M90" s="148">
        <v>700</v>
      </c>
      <c r="N90" s="148"/>
    </row>
    <row r="91" spans="1:14">
      <c r="A91" s="157"/>
      <c r="B91" s="157" t="s">
        <v>56</v>
      </c>
      <c r="C91" s="92" t="s">
        <v>247</v>
      </c>
      <c r="D91" s="92" t="s">
        <v>247</v>
      </c>
      <c r="E91" s="92">
        <v>611021</v>
      </c>
      <c r="F91" s="92">
        <v>2210</v>
      </c>
      <c r="G91" s="137"/>
      <c r="H91" s="137" t="s">
        <v>11</v>
      </c>
      <c r="I91" s="92" t="s">
        <v>668</v>
      </c>
      <c r="J91" s="157" t="s">
        <v>12</v>
      </c>
      <c r="K91" s="147">
        <v>3</v>
      </c>
      <c r="L91" s="148">
        <v>600</v>
      </c>
      <c r="M91" s="148">
        <v>1800</v>
      </c>
      <c r="N91" s="148"/>
    </row>
    <row r="92" spans="1:14">
      <c r="A92" s="157"/>
      <c r="B92" s="157" t="s">
        <v>56</v>
      </c>
      <c r="C92" s="92" t="s">
        <v>247</v>
      </c>
      <c r="D92" s="92" t="s">
        <v>247</v>
      </c>
      <c r="E92" s="92">
        <v>611021</v>
      </c>
      <c r="F92" s="92">
        <v>2210</v>
      </c>
      <c r="G92" s="137"/>
      <c r="H92" s="137" t="s">
        <v>11</v>
      </c>
      <c r="I92" s="92" t="s">
        <v>669</v>
      </c>
      <c r="J92" s="157" t="s">
        <v>12</v>
      </c>
      <c r="K92" s="147">
        <v>1</v>
      </c>
      <c r="L92" s="148">
        <v>800</v>
      </c>
      <c r="M92" s="148">
        <v>800</v>
      </c>
      <c r="N92" s="148"/>
    </row>
    <row r="93" spans="1:14">
      <c r="A93" s="157"/>
      <c r="B93" s="157" t="s">
        <v>56</v>
      </c>
      <c r="C93" s="92" t="s">
        <v>247</v>
      </c>
      <c r="D93" s="92" t="s">
        <v>247</v>
      </c>
      <c r="E93" s="92">
        <v>611021</v>
      </c>
      <c r="F93" s="92">
        <v>2210</v>
      </c>
      <c r="G93" s="137"/>
      <c r="H93" s="137" t="s">
        <v>11</v>
      </c>
      <c r="I93" s="92" t="s">
        <v>670</v>
      </c>
      <c r="J93" s="157" t="s">
        <v>12</v>
      </c>
      <c r="K93" s="147">
        <v>4</v>
      </c>
      <c r="L93" s="148">
        <v>97</v>
      </c>
      <c r="M93" s="148">
        <v>388</v>
      </c>
      <c r="N93" s="148"/>
    </row>
    <row r="94" spans="1:14">
      <c r="A94" s="157"/>
      <c r="B94" s="157" t="s">
        <v>56</v>
      </c>
      <c r="C94" s="92" t="s">
        <v>247</v>
      </c>
      <c r="D94" s="92" t="s">
        <v>247</v>
      </c>
      <c r="E94" s="92">
        <v>611021</v>
      </c>
      <c r="F94" s="92">
        <v>2210</v>
      </c>
      <c r="G94" s="137"/>
      <c r="H94" s="137" t="s">
        <v>11</v>
      </c>
      <c r="I94" s="92" t="s">
        <v>671</v>
      </c>
      <c r="J94" s="157" t="s">
        <v>12</v>
      </c>
      <c r="K94" s="147">
        <v>1</v>
      </c>
      <c r="L94" s="148">
        <v>315</v>
      </c>
      <c r="M94" s="148">
        <v>315</v>
      </c>
      <c r="N94" s="148"/>
    </row>
    <row r="95" spans="1:14">
      <c r="A95" s="157"/>
      <c r="B95" s="157" t="s">
        <v>56</v>
      </c>
      <c r="C95" s="92" t="s">
        <v>247</v>
      </c>
      <c r="D95" s="92" t="s">
        <v>247</v>
      </c>
      <c r="E95" s="92">
        <v>611021</v>
      </c>
      <c r="F95" s="92">
        <v>2210</v>
      </c>
      <c r="G95" s="137"/>
      <c r="H95" s="137" t="s">
        <v>11</v>
      </c>
      <c r="I95" s="92" t="s">
        <v>672</v>
      </c>
      <c r="J95" s="157" t="s">
        <v>12</v>
      </c>
      <c r="K95" s="147">
        <v>1</v>
      </c>
      <c r="L95" s="148">
        <v>500</v>
      </c>
      <c r="M95" s="148">
        <v>500</v>
      </c>
      <c r="N95" s="148"/>
    </row>
    <row r="96" spans="1:14">
      <c r="A96" s="157"/>
      <c r="B96" s="157" t="s">
        <v>56</v>
      </c>
      <c r="C96" s="92" t="s">
        <v>247</v>
      </c>
      <c r="D96" s="92" t="s">
        <v>247</v>
      </c>
      <c r="E96" s="92">
        <v>611021</v>
      </c>
      <c r="F96" s="92">
        <v>2210</v>
      </c>
      <c r="G96" s="137"/>
      <c r="H96" s="137" t="s">
        <v>11</v>
      </c>
      <c r="I96" s="92" t="s">
        <v>673</v>
      </c>
      <c r="J96" s="157" t="s">
        <v>12</v>
      </c>
      <c r="K96" s="147">
        <v>4</v>
      </c>
      <c r="L96" s="148">
        <v>150</v>
      </c>
      <c r="M96" s="148">
        <v>600</v>
      </c>
      <c r="N96" s="148"/>
    </row>
    <row r="97" spans="1:14">
      <c r="A97" s="157"/>
      <c r="B97" s="157" t="s">
        <v>56</v>
      </c>
      <c r="C97" s="92" t="s">
        <v>247</v>
      </c>
      <c r="D97" s="92" t="s">
        <v>247</v>
      </c>
      <c r="E97" s="92">
        <v>611021</v>
      </c>
      <c r="F97" s="92">
        <v>2210</v>
      </c>
      <c r="G97" s="137"/>
      <c r="H97" s="137" t="s">
        <v>11</v>
      </c>
      <c r="I97" s="92" t="s">
        <v>613</v>
      </c>
      <c r="J97" s="157" t="s">
        <v>12</v>
      </c>
      <c r="K97" s="147">
        <v>2</v>
      </c>
      <c r="L97" s="148">
        <v>430</v>
      </c>
      <c r="M97" s="148">
        <v>860</v>
      </c>
      <c r="N97" s="148"/>
    </row>
    <row r="98" spans="1:14">
      <c r="A98" s="157"/>
      <c r="B98" s="157" t="s">
        <v>56</v>
      </c>
      <c r="C98" s="92" t="s">
        <v>247</v>
      </c>
      <c r="D98" s="92" t="s">
        <v>247</v>
      </c>
      <c r="E98" s="92">
        <v>611021</v>
      </c>
      <c r="F98" s="92">
        <v>2210</v>
      </c>
      <c r="G98" s="137"/>
      <c r="H98" s="137" t="s">
        <v>11</v>
      </c>
      <c r="I98" s="92" t="s">
        <v>98</v>
      </c>
      <c r="J98" s="157" t="s">
        <v>12</v>
      </c>
      <c r="K98" s="147">
        <v>5</v>
      </c>
      <c r="L98" s="148">
        <v>188</v>
      </c>
      <c r="M98" s="148">
        <v>940</v>
      </c>
      <c r="N98" s="148"/>
    </row>
    <row r="99" spans="1:14">
      <c r="A99" s="157"/>
      <c r="B99" s="157" t="s">
        <v>56</v>
      </c>
      <c r="C99" s="92" t="s">
        <v>247</v>
      </c>
      <c r="D99" s="92" t="s">
        <v>247</v>
      </c>
      <c r="E99" s="92">
        <v>611021</v>
      </c>
      <c r="F99" s="92">
        <v>2210</v>
      </c>
      <c r="G99" s="137"/>
      <c r="H99" s="137" t="s">
        <v>11</v>
      </c>
      <c r="I99" s="92" t="s">
        <v>674</v>
      </c>
      <c r="J99" s="157" t="s">
        <v>12</v>
      </c>
      <c r="K99" s="147">
        <v>8</v>
      </c>
      <c r="L99" s="148">
        <v>104</v>
      </c>
      <c r="M99" s="148">
        <v>832</v>
      </c>
      <c r="N99" s="148"/>
    </row>
    <row r="100" spans="1:14">
      <c r="A100" s="157"/>
      <c r="B100" s="157" t="s">
        <v>56</v>
      </c>
      <c r="C100" s="92" t="s">
        <v>247</v>
      </c>
      <c r="D100" s="92" t="s">
        <v>247</v>
      </c>
      <c r="E100" s="92">
        <v>611021</v>
      </c>
      <c r="F100" s="92">
        <v>2210</v>
      </c>
      <c r="G100" s="137"/>
      <c r="H100" s="137">
        <v>1113</v>
      </c>
      <c r="I100" s="92" t="s">
        <v>675</v>
      </c>
      <c r="J100" s="157" t="s">
        <v>12</v>
      </c>
      <c r="K100" s="147">
        <v>1</v>
      </c>
      <c r="L100" s="148">
        <v>240</v>
      </c>
      <c r="M100" s="148">
        <v>240</v>
      </c>
      <c r="N100" s="148"/>
    </row>
    <row r="101" spans="1:14">
      <c r="A101" s="157"/>
      <c r="B101" s="157"/>
      <c r="C101" s="92"/>
      <c r="D101" s="92"/>
      <c r="E101" s="92"/>
      <c r="F101" s="92"/>
      <c r="G101" s="137"/>
      <c r="H101" s="137"/>
      <c r="I101" s="92" t="s">
        <v>699</v>
      </c>
      <c r="J101" s="157" t="s">
        <v>12</v>
      </c>
      <c r="K101" s="147">
        <v>1</v>
      </c>
      <c r="L101" s="148">
        <v>4000</v>
      </c>
      <c r="M101" s="148">
        <v>4000</v>
      </c>
      <c r="N101" s="148"/>
    </row>
    <row r="102" spans="1:14" ht="45">
      <c r="A102" s="157"/>
      <c r="B102" s="157" t="s">
        <v>56</v>
      </c>
      <c r="C102" s="92" t="s">
        <v>694</v>
      </c>
      <c r="D102" s="92" t="s">
        <v>461</v>
      </c>
      <c r="E102" s="92">
        <v>611021</v>
      </c>
      <c r="F102" s="92">
        <v>2210</v>
      </c>
      <c r="G102" s="137"/>
      <c r="H102" s="137">
        <v>1113</v>
      </c>
      <c r="I102" s="137" t="s">
        <v>695</v>
      </c>
      <c r="J102" s="137" t="s">
        <v>12</v>
      </c>
      <c r="K102" s="147">
        <v>1</v>
      </c>
      <c r="L102" s="148">
        <v>5083.2299999999996</v>
      </c>
      <c r="M102" s="148">
        <v>5083.2299999999996</v>
      </c>
      <c r="N102" s="148"/>
    </row>
    <row r="103" spans="1:14">
      <c r="A103" s="157"/>
      <c r="B103" s="157" t="s">
        <v>56</v>
      </c>
      <c r="C103" s="92" t="s">
        <v>562</v>
      </c>
      <c r="D103" s="92" t="s">
        <v>258</v>
      </c>
      <c r="E103" s="92">
        <v>611021</v>
      </c>
      <c r="F103" s="92">
        <v>2210</v>
      </c>
      <c r="G103" s="137"/>
      <c r="H103" s="137">
        <v>1513</v>
      </c>
      <c r="I103" s="137" t="s">
        <v>696</v>
      </c>
      <c r="J103" s="137" t="s">
        <v>12</v>
      </c>
      <c r="K103" s="147">
        <v>28</v>
      </c>
      <c r="L103" s="148">
        <v>220.15</v>
      </c>
      <c r="M103" s="148">
        <v>6164.2</v>
      </c>
      <c r="N103" s="148"/>
    </row>
    <row r="104" spans="1:14">
      <c r="A104" s="157"/>
      <c r="B104" s="157" t="s">
        <v>56</v>
      </c>
      <c r="C104" s="92" t="s">
        <v>562</v>
      </c>
      <c r="D104" s="92" t="s">
        <v>258</v>
      </c>
      <c r="E104" s="92">
        <v>611021</v>
      </c>
      <c r="F104" s="92">
        <v>2210</v>
      </c>
      <c r="G104" s="137"/>
      <c r="H104" s="137">
        <v>1513</v>
      </c>
      <c r="I104" s="137" t="s">
        <v>697</v>
      </c>
      <c r="J104" s="137" t="s">
        <v>12</v>
      </c>
      <c r="K104" s="147">
        <v>11</v>
      </c>
      <c r="L104" s="148">
        <v>1665</v>
      </c>
      <c r="M104" s="148">
        <v>18315</v>
      </c>
      <c r="N104" s="148"/>
    </row>
    <row r="105" spans="1:14">
      <c r="A105" s="153"/>
      <c r="B105" s="153"/>
      <c r="C105" s="154"/>
      <c r="D105" s="154"/>
      <c r="E105" s="154"/>
      <c r="F105" s="154"/>
      <c r="G105" s="153"/>
      <c r="H105" s="153"/>
      <c r="I105" s="153" t="s">
        <v>14</v>
      </c>
      <c r="J105" s="153"/>
      <c r="K105" s="155"/>
      <c r="L105" s="156"/>
      <c r="M105" s="156">
        <f>SUM(M70:M104)</f>
        <v>78845.429999999993</v>
      </c>
      <c r="N105" s="153">
        <f>SUM(N70:N82)</f>
        <v>0</v>
      </c>
    </row>
    <row r="106" spans="1:14" ht="45">
      <c r="A106" s="137">
        <v>1</v>
      </c>
      <c r="B106" s="137" t="s">
        <v>37</v>
      </c>
      <c r="C106" s="92" t="s">
        <v>694</v>
      </c>
      <c r="D106" s="92" t="s">
        <v>461</v>
      </c>
      <c r="E106" s="92">
        <v>611021</v>
      </c>
      <c r="F106" s="92">
        <v>2210</v>
      </c>
      <c r="G106" s="137"/>
      <c r="H106" s="137">
        <v>1113</v>
      </c>
      <c r="I106" s="137" t="s">
        <v>695</v>
      </c>
      <c r="J106" s="137" t="s">
        <v>12</v>
      </c>
      <c r="K106" s="147">
        <v>1</v>
      </c>
      <c r="L106" s="148">
        <v>5083.2299999999996</v>
      </c>
      <c r="M106" s="148">
        <v>5083.2299999999996</v>
      </c>
      <c r="N106" s="148" t="s">
        <v>458</v>
      </c>
    </row>
    <row r="107" spans="1:14">
      <c r="A107" s="137">
        <v>2</v>
      </c>
      <c r="B107" s="137" t="s">
        <v>37</v>
      </c>
      <c r="C107" s="92" t="s">
        <v>562</v>
      </c>
      <c r="D107" s="92" t="s">
        <v>258</v>
      </c>
      <c r="E107" s="92">
        <v>611021</v>
      </c>
      <c r="F107" s="92">
        <v>2210</v>
      </c>
      <c r="G107" s="137"/>
      <c r="H107" s="137">
        <v>1513</v>
      </c>
      <c r="I107" s="137" t="s">
        <v>696</v>
      </c>
      <c r="J107" s="137" t="s">
        <v>12</v>
      </c>
      <c r="K107" s="147">
        <v>70</v>
      </c>
      <c r="L107" s="148">
        <v>220.15</v>
      </c>
      <c r="M107" s="148">
        <v>15410.5</v>
      </c>
      <c r="N107" s="148" t="s">
        <v>458</v>
      </c>
    </row>
    <row r="108" spans="1:14">
      <c r="A108" s="137"/>
      <c r="B108" s="137" t="s">
        <v>37</v>
      </c>
      <c r="C108" s="92" t="s">
        <v>562</v>
      </c>
      <c r="D108" s="92" t="s">
        <v>258</v>
      </c>
      <c r="E108" s="92">
        <v>611021</v>
      </c>
      <c r="F108" s="92">
        <v>2210</v>
      </c>
      <c r="G108" s="137"/>
      <c r="H108" s="137">
        <v>1513</v>
      </c>
      <c r="I108" s="137" t="s">
        <v>697</v>
      </c>
      <c r="J108" s="137" t="s">
        <v>12</v>
      </c>
      <c r="K108" s="147">
        <v>32</v>
      </c>
      <c r="L108" s="148">
        <v>1665</v>
      </c>
      <c r="M108" s="148">
        <v>53280</v>
      </c>
      <c r="N108" s="148"/>
    </row>
    <row r="109" spans="1:14">
      <c r="A109" s="137"/>
      <c r="B109" s="137"/>
      <c r="C109" s="92"/>
      <c r="D109" s="92"/>
      <c r="E109" s="92"/>
      <c r="F109" s="92"/>
      <c r="G109" s="137"/>
      <c r="H109" s="137"/>
      <c r="I109" s="137"/>
      <c r="J109" s="137"/>
      <c r="K109" s="147"/>
      <c r="L109" s="148"/>
      <c r="M109" s="148"/>
      <c r="N109" s="148"/>
    </row>
    <row r="110" spans="1:14">
      <c r="A110" s="137"/>
      <c r="B110" s="137"/>
      <c r="C110" s="92"/>
      <c r="D110" s="92"/>
      <c r="E110" s="92"/>
      <c r="F110" s="92"/>
      <c r="G110" s="137"/>
      <c r="H110" s="137"/>
      <c r="I110" s="137"/>
      <c r="J110" s="137"/>
      <c r="K110" s="147"/>
      <c r="L110" s="148"/>
      <c r="M110" s="148"/>
      <c r="N110" s="148"/>
    </row>
    <row r="111" spans="1:14">
      <c r="A111" s="153"/>
      <c r="B111" s="153"/>
      <c r="C111" s="154"/>
      <c r="D111" s="154"/>
      <c r="E111" s="154"/>
      <c r="F111" s="154"/>
      <c r="G111" s="153"/>
      <c r="H111" s="153"/>
      <c r="I111" s="153" t="s">
        <v>14</v>
      </c>
      <c r="J111" s="153"/>
      <c r="K111" s="155"/>
      <c r="L111" s="156"/>
      <c r="M111" s="156">
        <f>SUM(M106:M110)</f>
        <v>73773.73</v>
      </c>
      <c r="N111" s="153">
        <f>SUM(N106:N107)</f>
        <v>0</v>
      </c>
    </row>
    <row r="112" spans="1:14">
      <c r="A112" s="157">
        <v>1</v>
      </c>
      <c r="B112" s="157" t="s">
        <v>39</v>
      </c>
      <c r="C112" s="92" t="s">
        <v>676</v>
      </c>
      <c r="D112" s="92" t="s">
        <v>676</v>
      </c>
      <c r="E112" s="92">
        <v>617520</v>
      </c>
      <c r="F112" s="92">
        <v>2210</v>
      </c>
      <c r="G112" s="137"/>
      <c r="H112" s="137" t="s">
        <v>572</v>
      </c>
      <c r="I112" s="137" t="s">
        <v>677</v>
      </c>
      <c r="J112" s="137" t="s">
        <v>12</v>
      </c>
      <c r="K112" s="147">
        <v>10</v>
      </c>
      <c r="L112" s="148">
        <v>6700</v>
      </c>
      <c r="M112" s="148">
        <v>67000</v>
      </c>
      <c r="N112" s="148" t="s">
        <v>458</v>
      </c>
    </row>
    <row r="113" spans="1:14">
      <c r="A113" s="157"/>
      <c r="B113" s="157" t="s">
        <v>39</v>
      </c>
      <c r="C113" s="92" t="s">
        <v>676</v>
      </c>
      <c r="D113" s="92" t="s">
        <v>676</v>
      </c>
      <c r="E113" s="92">
        <v>617520</v>
      </c>
      <c r="F113" s="92">
        <v>2210</v>
      </c>
      <c r="G113" s="137"/>
      <c r="H113" s="137">
        <v>1113</v>
      </c>
      <c r="I113" s="137" t="s">
        <v>678</v>
      </c>
      <c r="J113" s="137" t="s">
        <v>12</v>
      </c>
      <c r="K113" s="147">
        <v>1</v>
      </c>
      <c r="L113" s="148">
        <v>4691.1400000000003</v>
      </c>
      <c r="M113" s="148">
        <v>4691.1400000000003</v>
      </c>
      <c r="N113" s="148"/>
    </row>
    <row r="114" spans="1:14">
      <c r="A114" s="157"/>
      <c r="B114" s="157" t="s">
        <v>39</v>
      </c>
      <c r="C114" s="92" t="s">
        <v>676</v>
      </c>
      <c r="D114" s="92" t="s">
        <v>676</v>
      </c>
      <c r="E114" s="92">
        <v>617520</v>
      </c>
      <c r="F114" s="92">
        <v>2210</v>
      </c>
      <c r="G114" s="137"/>
      <c r="H114" s="137">
        <v>1113</v>
      </c>
      <c r="I114" s="137" t="s">
        <v>679</v>
      </c>
      <c r="J114" s="137" t="s">
        <v>12</v>
      </c>
      <c r="K114" s="147">
        <v>1</v>
      </c>
      <c r="L114" s="148">
        <v>18287.48</v>
      </c>
      <c r="M114" s="148">
        <v>18287.48</v>
      </c>
      <c r="N114" s="148"/>
    </row>
    <row r="115" spans="1:14">
      <c r="A115" s="157"/>
      <c r="B115" s="157" t="s">
        <v>39</v>
      </c>
      <c r="C115" s="92" t="s">
        <v>676</v>
      </c>
      <c r="D115" s="92" t="s">
        <v>676</v>
      </c>
      <c r="E115" s="92">
        <v>617520</v>
      </c>
      <c r="F115" s="92">
        <v>2210</v>
      </c>
      <c r="G115" s="137"/>
      <c r="H115" s="137">
        <v>1113</v>
      </c>
      <c r="I115" s="137" t="s">
        <v>680</v>
      </c>
      <c r="J115" s="137" t="s">
        <v>12</v>
      </c>
      <c r="K115" s="147">
        <v>11</v>
      </c>
      <c r="L115" s="148">
        <v>86.33</v>
      </c>
      <c r="M115" s="148">
        <v>949.63</v>
      </c>
      <c r="N115" s="148"/>
    </row>
    <row r="116" spans="1:14">
      <c r="A116" s="157"/>
      <c r="B116" s="157" t="s">
        <v>39</v>
      </c>
      <c r="C116" s="92" t="s">
        <v>676</v>
      </c>
      <c r="D116" s="92" t="s">
        <v>676</v>
      </c>
      <c r="E116" s="92">
        <v>617520</v>
      </c>
      <c r="F116" s="92">
        <v>2210</v>
      </c>
      <c r="G116" s="137"/>
      <c r="H116" s="137">
        <v>1113</v>
      </c>
      <c r="I116" s="137" t="s">
        <v>681</v>
      </c>
      <c r="J116" s="137" t="s">
        <v>12</v>
      </c>
      <c r="K116" s="147">
        <v>1</v>
      </c>
      <c r="L116" s="148">
        <v>6301.8</v>
      </c>
      <c r="M116" s="148">
        <v>6301.8</v>
      </c>
      <c r="N116" s="148"/>
    </row>
    <row r="117" spans="1:14">
      <c r="A117" s="157"/>
      <c r="B117" s="157" t="s">
        <v>39</v>
      </c>
      <c r="C117" s="92" t="s">
        <v>676</v>
      </c>
      <c r="D117" s="92" t="s">
        <v>676</v>
      </c>
      <c r="E117" s="92">
        <v>617520</v>
      </c>
      <c r="F117" s="92">
        <v>2210</v>
      </c>
      <c r="G117" s="137"/>
      <c r="H117" s="137">
        <v>1113</v>
      </c>
      <c r="I117" s="137" t="s">
        <v>682</v>
      </c>
      <c r="J117" s="137" t="s">
        <v>12</v>
      </c>
      <c r="K117" s="147">
        <v>1</v>
      </c>
      <c r="L117" s="148">
        <v>573.16</v>
      </c>
      <c r="M117" s="148">
        <v>573.16</v>
      </c>
      <c r="N117" s="148"/>
    </row>
    <row r="118" spans="1:14">
      <c r="A118" s="157"/>
      <c r="B118" s="157" t="s">
        <v>39</v>
      </c>
      <c r="C118" s="92" t="s">
        <v>676</v>
      </c>
      <c r="D118" s="92" t="s">
        <v>676</v>
      </c>
      <c r="E118" s="92">
        <v>617520</v>
      </c>
      <c r="F118" s="92">
        <v>2210</v>
      </c>
      <c r="G118" s="137"/>
      <c r="H118" s="137">
        <v>1113</v>
      </c>
      <c r="I118" s="137" t="s">
        <v>683</v>
      </c>
      <c r="J118" s="137" t="s">
        <v>12</v>
      </c>
      <c r="K118" s="147">
        <v>1</v>
      </c>
      <c r="L118" s="148">
        <v>482.74</v>
      </c>
      <c r="M118" s="148">
        <v>482.74</v>
      </c>
      <c r="N118" s="148"/>
    </row>
    <row r="119" spans="1:14">
      <c r="A119" s="157"/>
      <c r="B119" s="157" t="s">
        <v>39</v>
      </c>
      <c r="C119" s="92" t="s">
        <v>676</v>
      </c>
      <c r="D119" s="92" t="s">
        <v>676</v>
      </c>
      <c r="E119" s="92">
        <v>617520</v>
      </c>
      <c r="F119" s="92">
        <v>2210</v>
      </c>
      <c r="G119" s="137"/>
      <c r="H119" s="137">
        <v>1113</v>
      </c>
      <c r="I119" s="137" t="s">
        <v>684</v>
      </c>
      <c r="J119" s="137" t="s">
        <v>12</v>
      </c>
      <c r="K119" s="147">
        <v>1</v>
      </c>
      <c r="L119" s="148">
        <v>1176.76</v>
      </c>
      <c r="M119" s="148">
        <v>1176.76</v>
      </c>
      <c r="N119" s="148"/>
    </row>
    <row r="120" spans="1:14">
      <c r="A120" s="157"/>
      <c r="B120" s="157" t="s">
        <v>39</v>
      </c>
      <c r="C120" s="92" t="s">
        <v>676</v>
      </c>
      <c r="D120" s="92" t="s">
        <v>676</v>
      </c>
      <c r="E120" s="92">
        <v>611021</v>
      </c>
      <c r="F120" s="92">
        <v>2210</v>
      </c>
      <c r="G120" s="137"/>
      <c r="H120" s="137">
        <v>1113</v>
      </c>
      <c r="I120" s="137" t="s">
        <v>685</v>
      </c>
      <c r="J120" s="137" t="s">
        <v>12</v>
      </c>
      <c r="K120" s="147">
        <v>5</v>
      </c>
      <c r="L120" s="148">
        <v>239.67</v>
      </c>
      <c r="M120" s="148">
        <v>1198.3499999999999</v>
      </c>
      <c r="N120" s="148"/>
    </row>
    <row r="121" spans="1:14">
      <c r="A121" s="157"/>
      <c r="B121" s="157" t="s">
        <v>39</v>
      </c>
      <c r="C121" s="92" t="s">
        <v>676</v>
      </c>
      <c r="D121" s="92" t="s">
        <v>676</v>
      </c>
      <c r="E121" s="92">
        <v>617520</v>
      </c>
      <c r="F121" s="92">
        <v>2210</v>
      </c>
      <c r="G121" s="137"/>
      <c r="H121" s="137">
        <v>1113</v>
      </c>
      <c r="I121" s="137" t="s">
        <v>531</v>
      </c>
      <c r="J121" s="137" t="s">
        <v>12</v>
      </c>
      <c r="K121" s="147">
        <v>10</v>
      </c>
      <c r="L121" s="148">
        <v>19999</v>
      </c>
      <c r="M121" s="148">
        <v>199990</v>
      </c>
      <c r="N121" s="148"/>
    </row>
    <row r="122" spans="1:14">
      <c r="A122" s="157"/>
      <c r="B122" s="157" t="s">
        <v>39</v>
      </c>
      <c r="C122" s="92" t="s">
        <v>676</v>
      </c>
      <c r="D122" s="92" t="s">
        <v>676</v>
      </c>
      <c r="E122" s="92">
        <v>617520</v>
      </c>
      <c r="F122" s="92">
        <v>2210</v>
      </c>
      <c r="G122" s="137"/>
      <c r="H122" s="137">
        <v>1113</v>
      </c>
      <c r="I122" s="137" t="s">
        <v>689</v>
      </c>
      <c r="J122" s="137" t="s">
        <v>12</v>
      </c>
      <c r="K122" s="147">
        <v>10</v>
      </c>
      <c r="L122" s="148">
        <v>999</v>
      </c>
      <c r="M122" s="148">
        <v>9990</v>
      </c>
      <c r="N122" s="148"/>
    </row>
    <row r="123" spans="1:14">
      <c r="A123" s="157"/>
      <c r="B123" s="157" t="s">
        <v>39</v>
      </c>
      <c r="C123" s="92" t="s">
        <v>676</v>
      </c>
      <c r="D123" s="92" t="s">
        <v>676</v>
      </c>
      <c r="E123" s="92">
        <v>611021</v>
      </c>
      <c r="F123" s="92">
        <v>2210</v>
      </c>
      <c r="G123" s="137"/>
      <c r="H123" s="137">
        <v>1113</v>
      </c>
      <c r="I123" s="137" t="s">
        <v>690</v>
      </c>
      <c r="J123" s="137" t="s">
        <v>12</v>
      </c>
      <c r="K123" s="147">
        <v>1</v>
      </c>
      <c r="L123" s="148">
        <v>1199</v>
      </c>
      <c r="M123" s="148">
        <v>1199</v>
      </c>
      <c r="N123" s="148"/>
    </row>
    <row r="124" spans="1:14">
      <c r="A124" s="157"/>
      <c r="B124" s="157" t="s">
        <v>39</v>
      </c>
      <c r="C124" s="92" t="s">
        <v>676</v>
      </c>
      <c r="D124" s="92" t="s">
        <v>676</v>
      </c>
      <c r="E124" s="92">
        <v>617520</v>
      </c>
      <c r="F124" s="92">
        <v>2210</v>
      </c>
      <c r="G124" s="137"/>
      <c r="H124" s="137">
        <v>1113</v>
      </c>
      <c r="I124" s="137" t="s">
        <v>686</v>
      </c>
      <c r="J124" s="137" t="s">
        <v>12</v>
      </c>
      <c r="K124" s="147">
        <v>1</v>
      </c>
      <c r="L124" s="148">
        <v>8400</v>
      </c>
      <c r="M124" s="148">
        <v>8400</v>
      </c>
      <c r="N124" s="148"/>
    </row>
    <row r="125" spans="1:14">
      <c r="A125" s="157"/>
      <c r="B125" s="157" t="s">
        <v>39</v>
      </c>
      <c r="C125" s="92" t="s">
        <v>676</v>
      </c>
      <c r="D125" s="92" t="s">
        <v>676</v>
      </c>
      <c r="E125" s="92">
        <v>617520</v>
      </c>
      <c r="F125" s="92">
        <v>2210</v>
      </c>
      <c r="G125" s="137"/>
      <c r="H125" s="137">
        <v>1113</v>
      </c>
      <c r="I125" s="137" t="s">
        <v>687</v>
      </c>
      <c r="J125" s="137" t="s">
        <v>12</v>
      </c>
      <c r="K125" s="147">
        <v>1</v>
      </c>
      <c r="L125" s="148">
        <v>84</v>
      </c>
      <c r="M125" s="148">
        <v>84</v>
      </c>
      <c r="N125" s="148"/>
    </row>
    <row r="126" spans="1:14">
      <c r="A126" s="157"/>
      <c r="B126" s="157" t="s">
        <v>39</v>
      </c>
      <c r="C126" s="92" t="s">
        <v>676</v>
      </c>
      <c r="D126" s="92" t="s">
        <v>676</v>
      </c>
      <c r="E126" s="92">
        <v>617520</v>
      </c>
      <c r="F126" s="92">
        <v>3110</v>
      </c>
      <c r="G126" s="137"/>
      <c r="H126" s="137">
        <v>1014</v>
      </c>
      <c r="I126" s="137" t="s">
        <v>688</v>
      </c>
      <c r="J126" s="137" t="s">
        <v>12</v>
      </c>
      <c r="K126" s="147">
        <v>1</v>
      </c>
      <c r="L126" s="148">
        <v>29839.26</v>
      </c>
      <c r="M126" s="148">
        <v>29839.26</v>
      </c>
      <c r="N126" s="148"/>
    </row>
    <row r="127" spans="1:14" ht="45">
      <c r="A127" s="157"/>
      <c r="B127" s="157" t="s">
        <v>39</v>
      </c>
      <c r="C127" s="92" t="s">
        <v>694</v>
      </c>
      <c r="D127" s="92" t="s">
        <v>461</v>
      </c>
      <c r="E127" s="92">
        <v>611021</v>
      </c>
      <c r="F127" s="92">
        <v>2210</v>
      </c>
      <c r="G127" s="137"/>
      <c r="H127" s="137">
        <v>1113</v>
      </c>
      <c r="I127" s="137" t="s">
        <v>695</v>
      </c>
      <c r="J127" s="137" t="s">
        <v>12</v>
      </c>
      <c r="K127" s="147">
        <v>1</v>
      </c>
      <c r="L127" s="148">
        <v>5083.2299999999996</v>
      </c>
      <c r="M127" s="148">
        <v>5083.2299999999996</v>
      </c>
      <c r="N127" s="148">
        <v>5083.2299999999996</v>
      </c>
    </row>
    <row r="128" spans="1:14">
      <c r="A128" s="157"/>
      <c r="B128" s="157" t="s">
        <v>39</v>
      </c>
      <c r="C128" s="92" t="s">
        <v>562</v>
      </c>
      <c r="D128" s="92" t="s">
        <v>258</v>
      </c>
      <c r="E128" s="92">
        <v>611021</v>
      </c>
      <c r="F128" s="92">
        <v>2210</v>
      </c>
      <c r="G128" s="137"/>
      <c r="H128" s="137">
        <v>1513</v>
      </c>
      <c r="I128" s="137" t="s">
        <v>696</v>
      </c>
      <c r="J128" s="137" t="s">
        <v>12</v>
      </c>
      <c r="K128" s="147">
        <v>6</v>
      </c>
      <c r="L128" s="148">
        <v>220.15</v>
      </c>
      <c r="M128" s="148">
        <v>1320.9</v>
      </c>
      <c r="N128" s="148">
        <v>4403</v>
      </c>
    </row>
    <row r="129" spans="1:14">
      <c r="A129" s="153"/>
      <c r="B129" s="153"/>
      <c r="C129" s="154"/>
      <c r="D129" s="154"/>
      <c r="E129" s="154"/>
      <c r="F129" s="154"/>
      <c r="G129" s="153"/>
      <c r="H129" s="153"/>
      <c r="I129" s="153" t="s">
        <v>14</v>
      </c>
      <c r="J129" s="153"/>
      <c r="K129" s="155"/>
      <c r="L129" s="156"/>
      <c r="M129" s="156">
        <f>SUM(M112:M128)</f>
        <v>356567.45</v>
      </c>
      <c r="N129" s="153"/>
    </row>
    <row r="130" spans="1:14" ht="45">
      <c r="A130" s="157">
        <v>1</v>
      </c>
      <c r="B130" s="157" t="s">
        <v>42</v>
      </c>
      <c r="C130" s="92" t="s">
        <v>694</v>
      </c>
      <c r="D130" s="92" t="s">
        <v>461</v>
      </c>
      <c r="E130" s="92">
        <v>611021</v>
      </c>
      <c r="F130" s="92">
        <v>2210</v>
      </c>
      <c r="G130" s="137"/>
      <c r="H130" s="137">
        <v>1113</v>
      </c>
      <c r="I130" s="137" t="s">
        <v>695</v>
      </c>
      <c r="J130" s="137" t="s">
        <v>12</v>
      </c>
      <c r="K130" s="147">
        <v>1</v>
      </c>
      <c r="L130" s="148">
        <v>5083.2299999999996</v>
      </c>
      <c r="M130" s="148">
        <v>5083.2299999999996</v>
      </c>
      <c r="N130" s="148" t="s">
        <v>458</v>
      </c>
    </row>
    <row r="131" spans="1:14">
      <c r="A131" s="157"/>
      <c r="B131" s="157" t="s">
        <v>42</v>
      </c>
      <c r="C131" s="92" t="s">
        <v>562</v>
      </c>
      <c r="D131" s="92" t="s">
        <v>258</v>
      </c>
      <c r="E131" s="92">
        <v>611021</v>
      </c>
      <c r="F131" s="92">
        <v>2210</v>
      </c>
      <c r="G131" s="137"/>
      <c r="H131" s="137">
        <v>1513</v>
      </c>
      <c r="I131" s="137" t="s">
        <v>696</v>
      </c>
      <c r="J131" s="137" t="s">
        <v>12</v>
      </c>
      <c r="K131" s="147">
        <v>25</v>
      </c>
      <c r="L131" s="148">
        <v>220.15</v>
      </c>
      <c r="M131" s="148">
        <v>5503.75</v>
      </c>
      <c r="N131" s="148" t="s">
        <v>458</v>
      </c>
    </row>
    <row r="132" spans="1:14">
      <c r="A132" s="157"/>
      <c r="B132" s="157" t="s">
        <v>42</v>
      </c>
      <c r="C132" s="92" t="s">
        <v>562</v>
      </c>
      <c r="D132" s="92" t="s">
        <v>258</v>
      </c>
      <c r="E132" s="92">
        <v>611021</v>
      </c>
      <c r="F132" s="92">
        <v>2210</v>
      </c>
      <c r="G132" s="137"/>
      <c r="H132" s="137">
        <v>1513</v>
      </c>
      <c r="I132" s="137" t="s">
        <v>697</v>
      </c>
      <c r="J132" s="137" t="s">
        <v>12</v>
      </c>
      <c r="K132" s="147">
        <v>10</v>
      </c>
      <c r="L132" s="148">
        <v>1665</v>
      </c>
      <c r="M132" s="148">
        <v>16650</v>
      </c>
      <c r="N132" s="148" t="s">
        <v>458</v>
      </c>
    </row>
    <row r="133" spans="1:14">
      <c r="A133" s="153"/>
      <c r="B133" s="153"/>
      <c r="C133" s="154"/>
      <c r="D133" s="154"/>
      <c r="E133" s="154"/>
      <c r="F133" s="154"/>
      <c r="G133" s="153"/>
      <c r="H133" s="153"/>
      <c r="I133" s="153" t="s">
        <v>14</v>
      </c>
      <c r="J133" s="153"/>
      <c r="K133" s="155"/>
      <c r="L133" s="156"/>
      <c r="M133" s="156">
        <f>SUM(M130:M132)</f>
        <v>27236.98</v>
      </c>
      <c r="N133" s="153"/>
    </row>
    <row r="134" spans="1:14" ht="45">
      <c r="A134" s="157">
        <v>1</v>
      </c>
      <c r="B134" s="157" t="s">
        <v>83</v>
      </c>
      <c r="C134" s="92" t="s">
        <v>694</v>
      </c>
      <c r="D134" s="92" t="s">
        <v>461</v>
      </c>
      <c r="E134" s="92">
        <v>611021</v>
      </c>
      <c r="F134" s="92">
        <v>2210</v>
      </c>
      <c r="G134" s="137"/>
      <c r="H134" s="137">
        <v>1113</v>
      </c>
      <c r="I134" s="137" t="s">
        <v>695</v>
      </c>
      <c r="J134" s="137" t="s">
        <v>12</v>
      </c>
      <c r="K134" s="147">
        <v>1</v>
      </c>
      <c r="L134" s="148">
        <v>5083.2299999999996</v>
      </c>
      <c r="M134" s="148">
        <v>5083.2299999999996</v>
      </c>
      <c r="N134" s="148" t="s">
        <v>458</v>
      </c>
    </row>
    <row r="135" spans="1:14">
      <c r="A135" s="153"/>
      <c r="B135" s="153"/>
      <c r="C135" s="154"/>
      <c r="D135" s="154"/>
      <c r="E135" s="154"/>
      <c r="F135" s="154"/>
      <c r="G135" s="153"/>
      <c r="H135" s="153"/>
      <c r="I135" s="153" t="s">
        <v>14</v>
      </c>
      <c r="J135" s="153"/>
      <c r="K135" s="155"/>
      <c r="L135" s="156"/>
      <c r="M135" s="156">
        <f>SUM(M134:M134)</f>
        <v>5083.2299999999996</v>
      </c>
      <c r="N135" s="153"/>
    </row>
    <row r="136" spans="1:14" ht="45">
      <c r="A136" s="137">
        <v>1</v>
      </c>
      <c r="B136" s="137" t="s">
        <v>107</v>
      </c>
      <c r="C136" s="92" t="s">
        <v>694</v>
      </c>
      <c r="D136" s="92" t="s">
        <v>461</v>
      </c>
      <c r="E136" s="92">
        <v>611021</v>
      </c>
      <c r="F136" s="92">
        <v>2210</v>
      </c>
      <c r="G136" s="137"/>
      <c r="H136" s="137">
        <v>1113</v>
      </c>
      <c r="I136" s="137" t="s">
        <v>695</v>
      </c>
      <c r="J136" s="137" t="s">
        <v>12</v>
      </c>
      <c r="K136" s="147">
        <v>1</v>
      </c>
      <c r="L136" s="148">
        <v>5083.2299999999996</v>
      </c>
      <c r="M136" s="148">
        <v>5083.2299999999996</v>
      </c>
      <c r="N136" s="137" t="s">
        <v>459</v>
      </c>
    </row>
    <row r="137" spans="1:14">
      <c r="A137" s="137"/>
      <c r="B137" s="137" t="s">
        <v>107</v>
      </c>
      <c r="C137" s="92" t="s">
        <v>562</v>
      </c>
      <c r="D137" s="92" t="s">
        <v>258</v>
      </c>
      <c r="E137" s="92">
        <v>611021</v>
      </c>
      <c r="F137" s="92">
        <v>2210</v>
      </c>
      <c r="G137" s="137"/>
      <c r="H137" s="137">
        <v>1513</v>
      </c>
      <c r="I137" s="137" t="s">
        <v>696</v>
      </c>
      <c r="J137" s="137" t="s">
        <v>12</v>
      </c>
      <c r="K137" s="147">
        <v>19</v>
      </c>
      <c r="L137" s="148">
        <v>220.15</v>
      </c>
      <c r="M137" s="148">
        <v>4182.8500000000004</v>
      </c>
      <c r="N137" s="137"/>
    </row>
    <row r="138" spans="1:14">
      <c r="A138" s="137"/>
      <c r="B138" s="137" t="s">
        <v>107</v>
      </c>
      <c r="C138" s="92" t="s">
        <v>562</v>
      </c>
      <c r="D138" s="92" t="s">
        <v>258</v>
      </c>
      <c r="E138" s="92">
        <v>611021</v>
      </c>
      <c r="F138" s="92">
        <v>2210</v>
      </c>
      <c r="G138" s="137"/>
      <c r="H138" s="137">
        <v>1513</v>
      </c>
      <c r="I138" s="137" t="s">
        <v>697</v>
      </c>
      <c r="J138" s="137" t="s">
        <v>12</v>
      </c>
      <c r="K138" s="147">
        <v>12</v>
      </c>
      <c r="L138" s="148">
        <v>1665</v>
      </c>
      <c r="M138" s="148">
        <v>19980</v>
      </c>
      <c r="N138" s="137"/>
    </row>
    <row r="139" spans="1:14">
      <c r="A139" s="153"/>
      <c r="B139" s="153"/>
      <c r="C139" s="154"/>
      <c r="D139" s="154"/>
      <c r="E139" s="154"/>
      <c r="F139" s="154"/>
      <c r="G139" s="153"/>
      <c r="H139" s="153"/>
      <c r="I139" s="153" t="s">
        <v>14</v>
      </c>
      <c r="J139" s="153"/>
      <c r="K139" s="155"/>
      <c r="L139" s="156"/>
      <c r="M139" s="156">
        <f>SUM(M136:M138)</f>
        <v>29246.080000000002</v>
      </c>
      <c r="N139" s="153">
        <f>SUM(N136:N136)</f>
        <v>0</v>
      </c>
    </row>
    <row r="140" spans="1:14" ht="45">
      <c r="A140" s="157">
        <v>1</v>
      </c>
      <c r="B140" s="157" t="s">
        <v>46</v>
      </c>
      <c r="C140" s="92" t="s">
        <v>694</v>
      </c>
      <c r="D140" s="92" t="s">
        <v>461</v>
      </c>
      <c r="E140" s="92">
        <v>611021</v>
      </c>
      <c r="F140" s="92">
        <v>2210</v>
      </c>
      <c r="G140" s="137"/>
      <c r="H140" s="137">
        <v>1113</v>
      </c>
      <c r="I140" s="137" t="s">
        <v>695</v>
      </c>
      <c r="J140" s="137" t="s">
        <v>12</v>
      </c>
      <c r="K140" s="147">
        <v>1</v>
      </c>
      <c r="L140" s="148">
        <v>5083.2299999999996</v>
      </c>
      <c r="M140" s="148">
        <v>5083.2299999999996</v>
      </c>
      <c r="N140" s="148" t="s">
        <v>458</v>
      </c>
    </row>
    <row r="141" spans="1:14">
      <c r="A141" s="153"/>
      <c r="B141" s="153"/>
      <c r="C141" s="154"/>
      <c r="D141" s="154"/>
      <c r="E141" s="154"/>
      <c r="F141" s="154"/>
      <c r="G141" s="153"/>
      <c r="H141" s="153"/>
      <c r="I141" s="153" t="s">
        <v>14</v>
      </c>
      <c r="J141" s="153"/>
      <c r="K141" s="155"/>
      <c r="L141" s="156"/>
      <c r="M141" s="156">
        <f>SUM(M140:M140)</f>
        <v>5083.2299999999996</v>
      </c>
      <c r="N141" s="153"/>
    </row>
    <row r="142" spans="1:14" ht="45">
      <c r="A142" s="137">
        <v>1</v>
      </c>
      <c r="B142" s="137" t="s">
        <v>87</v>
      </c>
      <c r="C142" s="92" t="s">
        <v>694</v>
      </c>
      <c r="D142" s="92" t="s">
        <v>461</v>
      </c>
      <c r="E142" s="92">
        <v>611021</v>
      </c>
      <c r="F142" s="92">
        <v>2210</v>
      </c>
      <c r="G142" s="137"/>
      <c r="H142" s="137">
        <v>1113</v>
      </c>
      <c r="I142" s="137" t="s">
        <v>695</v>
      </c>
      <c r="J142" s="137" t="s">
        <v>12</v>
      </c>
      <c r="K142" s="147">
        <v>1</v>
      </c>
      <c r="L142" s="148">
        <v>5083.2299999999996</v>
      </c>
      <c r="M142" s="148">
        <v>5083.2299999999996</v>
      </c>
      <c r="N142" s="148" t="s">
        <v>458</v>
      </c>
    </row>
    <row r="143" spans="1:14">
      <c r="A143" s="137">
        <v>2</v>
      </c>
      <c r="B143" s="137" t="s">
        <v>87</v>
      </c>
      <c r="C143" s="92" t="s">
        <v>562</v>
      </c>
      <c r="D143" s="92" t="s">
        <v>258</v>
      </c>
      <c r="E143" s="92">
        <v>611021</v>
      </c>
      <c r="F143" s="92">
        <v>2210</v>
      </c>
      <c r="G143" s="137"/>
      <c r="H143" s="137">
        <v>1513</v>
      </c>
      <c r="I143" s="137" t="s">
        <v>696</v>
      </c>
      <c r="J143" s="137" t="s">
        <v>12</v>
      </c>
      <c r="K143" s="147">
        <v>21</v>
      </c>
      <c r="L143" s="148">
        <v>220.15</v>
      </c>
      <c r="M143" s="148">
        <v>4623.1499999999996</v>
      </c>
      <c r="N143" s="148" t="s">
        <v>458</v>
      </c>
    </row>
    <row r="144" spans="1:14">
      <c r="A144" s="137">
        <v>3</v>
      </c>
      <c r="B144" s="137" t="s">
        <v>87</v>
      </c>
      <c r="C144" s="92" t="s">
        <v>562</v>
      </c>
      <c r="D144" s="92" t="s">
        <v>258</v>
      </c>
      <c r="E144" s="92">
        <v>611021</v>
      </c>
      <c r="F144" s="92">
        <v>2210</v>
      </c>
      <c r="G144" s="137"/>
      <c r="H144" s="137">
        <v>1513</v>
      </c>
      <c r="I144" s="137" t="s">
        <v>697</v>
      </c>
      <c r="J144" s="137" t="s">
        <v>12</v>
      </c>
      <c r="K144" s="147">
        <v>20</v>
      </c>
      <c r="L144" s="148">
        <v>1665</v>
      </c>
      <c r="M144" s="148">
        <v>33300</v>
      </c>
      <c r="N144" s="148" t="s">
        <v>458</v>
      </c>
    </row>
    <row r="145" spans="1:14">
      <c r="A145" s="153"/>
      <c r="B145" s="153"/>
      <c r="C145" s="154"/>
      <c r="D145" s="154"/>
      <c r="E145" s="154"/>
      <c r="F145" s="154"/>
      <c r="G145" s="153"/>
      <c r="H145" s="153"/>
      <c r="I145" s="153" t="s">
        <v>14</v>
      </c>
      <c r="J145" s="153"/>
      <c r="K145" s="155"/>
      <c r="L145" s="156"/>
      <c r="M145" s="156">
        <f>SUM(M142:M144)</f>
        <v>43006.38</v>
      </c>
      <c r="N145" s="153">
        <f>SUM(N142:N144)</f>
        <v>0</v>
      </c>
    </row>
    <row r="146" spans="1:14" ht="45">
      <c r="A146" s="157">
        <v>1</v>
      </c>
      <c r="B146" s="157" t="s">
        <v>48</v>
      </c>
      <c r="C146" s="92" t="s">
        <v>694</v>
      </c>
      <c r="D146" s="92" t="s">
        <v>461</v>
      </c>
      <c r="E146" s="92">
        <v>611021</v>
      </c>
      <c r="F146" s="92">
        <v>2210</v>
      </c>
      <c r="G146" s="137"/>
      <c r="H146" s="137">
        <v>1113</v>
      </c>
      <c r="I146" s="137" t="s">
        <v>695</v>
      </c>
      <c r="J146" s="137" t="s">
        <v>12</v>
      </c>
      <c r="K146" s="147">
        <v>1</v>
      </c>
      <c r="L146" s="148">
        <v>5083.2299999999996</v>
      </c>
      <c r="M146" s="148">
        <v>5083.2299999999996</v>
      </c>
      <c r="N146" s="148" t="s">
        <v>458</v>
      </c>
    </row>
    <row r="147" spans="1:14">
      <c r="A147" s="153"/>
      <c r="B147" s="153"/>
      <c r="C147" s="154"/>
      <c r="D147" s="154"/>
      <c r="E147" s="154"/>
      <c r="F147" s="154"/>
      <c r="G147" s="153"/>
      <c r="H147" s="153"/>
      <c r="I147" s="153" t="s">
        <v>14</v>
      </c>
      <c r="J147" s="153"/>
      <c r="K147" s="155"/>
      <c r="L147" s="156"/>
      <c r="M147" s="156">
        <f>SUM(M146:M146)</f>
        <v>5083.2299999999996</v>
      </c>
      <c r="N147" s="153">
        <f>SUM(N146:N146)</f>
        <v>0</v>
      </c>
    </row>
    <row r="148" spans="1:14">
      <c r="A148" s="137">
        <v>9</v>
      </c>
      <c r="B148" s="137" t="s">
        <v>75</v>
      </c>
      <c r="C148" s="92" t="s">
        <v>562</v>
      </c>
      <c r="D148" s="92" t="s">
        <v>691</v>
      </c>
      <c r="E148" s="92">
        <v>617520</v>
      </c>
      <c r="F148" s="92">
        <v>2210</v>
      </c>
      <c r="G148" s="137"/>
      <c r="H148" s="137">
        <v>1113</v>
      </c>
      <c r="I148" s="137" t="s">
        <v>693</v>
      </c>
      <c r="J148" s="137" t="s">
        <v>12</v>
      </c>
      <c r="K148" s="147">
        <v>14</v>
      </c>
      <c r="L148" s="148">
        <v>7984</v>
      </c>
      <c r="M148" s="148">
        <v>111776</v>
      </c>
      <c r="N148" s="148" t="s">
        <v>459</v>
      </c>
    </row>
    <row r="149" spans="1:14" ht="45">
      <c r="A149" s="137">
        <v>10</v>
      </c>
      <c r="B149" s="137" t="s">
        <v>75</v>
      </c>
      <c r="C149" s="92" t="s">
        <v>694</v>
      </c>
      <c r="D149" s="92" t="s">
        <v>461</v>
      </c>
      <c r="E149" s="92">
        <v>611021</v>
      </c>
      <c r="F149" s="92">
        <v>2210</v>
      </c>
      <c r="G149" s="137"/>
      <c r="H149" s="137">
        <v>1113</v>
      </c>
      <c r="I149" s="137" t="s">
        <v>695</v>
      </c>
      <c r="J149" s="137" t="s">
        <v>12</v>
      </c>
      <c r="K149" s="147">
        <v>1</v>
      </c>
      <c r="L149" s="148">
        <v>5083.2299999999996</v>
      </c>
      <c r="M149" s="148">
        <v>5083.2299999999996</v>
      </c>
      <c r="N149" s="148" t="s">
        <v>459</v>
      </c>
    </row>
    <row r="150" spans="1:14">
      <c r="A150" s="137">
        <v>11</v>
      </c>
      <c r="B150" s="137" t="s">
        <v>75</v>
      </c>
      <c r="C150" s="92" t="s">
        <v>562</v>
      </c>
      <c r="D150" s="92" t="s">
        <v>258</v>
      </c>
      <c r="E150" s="92">
        <v>611021</v>
      </c>
      <c r="F150" s="92">
        <v>2210</v>
      </c>
      <c r="G150" s="137"/>
      <c r="H150" s="137">
        <v>1513</v>
      </c>
      <c r="I150" s="137" t="s">
        <v>696</v>
      </c>
      <c r="J150" s="137" t="s">
        <v>12</v>
      </c>
      <c r="K150" s="147">
        <v>12</v>
      </c>
      <c r="L150" s="148">
        <v>220.15</v>
      </c>
      <c r="M150" s="148">
        <v>2641.8</v>
      </c>
      <c r="N150" s="148" t="s">
        <v>459</v>
      </c>
    </row>
    <row r="151" spans="1:14" ht="42" customHeight="1">
      <c r="A151" s="137">
        <v>12</v>
      </c>
      <c r="B151" s="137" t="s">
        <v>75</v>
      </c>
      <c r="C151" s="92" t="s">
        <v>562</v>
      </c>
      <c r="D151" s="92" t="s">
        <v>258</v>
      </c>
      <c r="E151" s="92">
        <v>611021</v>
      </c>
      <c r="F151" s="92">
        <v>2210</v>
      </c>
      <c r="G151" s="137"/>
      <c r="H151" s="137">
        <v>1513</v>
      </c>
      <c r="I151" s="137" t="s">
        <v>697</v>
      </c>
      <c r="J151" s="137" t="s">
        <v>12</v>
      </c>
      <c r="K151" s="147">
        <v>7</v>
      </c>
      <c r="L151" s="148">
        <v>1665</v>
      </c>
      <c r="M151" s="148">
        <v>11655</v>
      </c>
      <c r="N151" s="148" t="s">
        <v>459</v>
      </c>
    </row>
    <row r="152" spans="1:14">
      <c r="A152" s="153"/>
      <c r="B152" s="153"/>
      <c r="C152" s="154"/>
      <c r="D152" s="154"/>
      <c r="E152" s="154"/>
      <c r="F152" s="154"/>
      <c r="G152" s="153"/>
      <c r="H152" s="153"/>
      <c r="I152" s="153" t="s">
        <v>14</v>
      </c>
      <c r="J152" s="153"/>
      <c r="K152" s="155"/>
      <c r="L152" s="156"/>
      <c r="M152" s="156">
        <f>SUM(M148:M151)</f>
        <v>131156.03</v>
      </c>
      <c r="N152" s="153">
        <f>SUM(N148:N151)</f>
        <v>0</v>
      </c>
    </row>
    <row r="153" spans="1:14" ht="45">
      <c r="A153" s="157">
        <v>1</v>
      </c>
      <c r="B153" s="157" t="s">
        <v>55</v>
      </c>
      <c r="C153" s="92" t="s">
        <v>694</v>
      </c>
      <c r="D153" s="92" t="s">
        <v>461</v>
      </c>
      <c r="E153" s="92">
        <v>611021</v>
      </c>
      <c r="F153" s="92">
        <v>2210</v>
      </c>
      <c r="G153" s="137"/>
      <c r="H153" s="137">
        <v>1113</v>
      </c>
      <c r="I153" s="137" t="s">
        <v>695</v>
      </c>
      <c r="J153" s="137" t="s">
        <v>12</v>
      </c>
      <c r="K153" s="147">
        <v>1</v>
      </c>
      <c r="L153" s="148">
        <v>5083.2299999999996</v>
      </c>
      <c r="M153" s="148">
        <v>5083.2299999999996</v>
      </c>
      <c r="N153" s="148" t="s">
        <v>458</v>
      </c>
    </row>
    <row r="154" spans="1:14">
      <c r="A154" s="153"/>
      <c r="B154" s="153"/>
      <c r="C154" s="154"/>
      <c r="D154" s="154"/>
      <c r="E154" s="154"/>
      <c r="F154" s="154"/>
      <c r="G154" s="153"/>
      <c r="H154" s="153"/>
      <c r="I154" s="153" t="s">
        <v>14</v>
      </c>
      <c r="J154" s="153"/>
      <c r="K154" s="155"/>
      <c r="L154" s="156"/>
      <c r="M154" s="156">
        <f>SUM(M153:M153)</f>
        <v>5083.2299999999996</v>
      </c>
      <c r="N154" s="153"/>
    </row>
    <row r="155" spans="1:14" s="158" customFormat="1" ht="45">
      <c r="A155" s="157"/>
      <c r="B155" s="157" t="s">
        <v>168</v>
      </c>
      <c r="C155" s="92" t="s">
        <v>694</v>
      </c>
      <c r="D155" s="92" t="s">
        <v>461</v>
      </c>
      <c r="E155" s="92">
        <v>611021</v>
      </c>
      <c r="F155" s="92">
        <v>2210</v>
      </c>
      <c r="G155" s="137"/>
      <c r="H155" s="137">
        <v>1113</v>
      </c>
      <c r="I155" s="137" t="s">
        <v>695</v>
      </c>
      <c r="J155" s="137" t="s">
        <v>12</v>
      </c>
      <c r="K155" s="147">
        <v>1</v>
      </c>
      <c r="L155" s="148">
        <v>5083.2299999999996</v>
      </c>
      <c r="M155" s="148">
        <v>5083.2299999999996</v>
      </c>
      <c r="N155" s="157"/>
    </row>
    <row r="156" spans="1:14">
      <c r="A156" s="153"/>
      <c r="B156" s="153"/>
      <c r="C156" s="154"/>
      <c r="D156" s="154"/>
      <c r="E156" s="154"/>
      <c r="F156" s="154"/>
      <c r="G156" s="153"/>
      <c r="H156" s="153"/>
      <c r="I156" s="153" t="s">
        <v>14</v>
      </c>
      <c r="J156" s="153"/>
      <c r="K156" s="155"/>
      <c r="L156" s="156"/>
      <c r="M156" s="156">
        <f>SUM(M155)</f>
        <v>5083.2299999999996</v>
      </c>
      <c r="N156" s="153"/>
    </row>
    <row r="157" spans="1:14" s="158" customFormat="1">
      <c r="A157" s="157"/>
      <c r="B157" s="157" t="s">
        <v>51</v>
      </c>
      <c r="C157" s="92" t="s">
        <v>562</v>
      </c>
      <c r="D157" s="92" t="s">
        <v>691</v>
      </c>
      <c r="E157" s="92">
        <v>617520</v>
      </c>
      <c r="F157" s="92">
        <v>2210</v>
      </c>
      <c r="G157" s="137"/>
      <c r="H157" s="137">
        <v>1113</v>
      </c>
      <c r="I157" s="137" t="s">
        <v>692</v>
      </c>
      <c r="J157" s="137" t="s">
        <v>12</v>
      </c>
      <c r="K157" s="147">
        <v>14</v>
      </c>
      <c r="L157" s="148">
        <v>7984</v>
      </c>
      <c r="M157" s="148">
        <v>111776</v>
      </c>
      <c r="N157" s="157"/>
    </row>
    <row r="158" spans="1:14" s="158" customFormat="1" ht="45">
      <c r="A158" s="157"/>
      <c r="B158" s="157" t="s">
        <v>51</v>
      </c>
      <c r="C158" s="92" t="s">
        <v>694</v>
      </c>
      <c r="D158" s="92" t="s">
        <v>461</v>
      </c>
      <c r="E158" s="92">
        <v>611021</v>
      </c>
      <c r="F158" s="92">
        <v>2210</v>
      </c>
      <c r="G158" s="137"/>
      <c r="H158" s="137">
        <v>1113</v>
      </c>
      <c r="I158" s="137" t="s">
        <v>695</v>
      </c>
      <c r="J158" s="137" t="s">
        <v>12</v>
      </c>
      <c r="K158" s="147">
        <v>1</v>
      </c>
      <c r="L158" s="148">
        <v>5083.2299999999996</v>
      </c>
      <c r="M158" s="148">
        <v>5083.2299999999996</v>
      </c>
      <c r="N158" s="157"/>
    </row>
    <row r="159" spans="1:14" s="158" customFormat="1">
      <c r="A159" s="157"/>
      <c r="B159" s="157" t="s">
        <v>51</v>
      </c>
      <c r="C159" s="92" t="s">
        <v>562</v>
      </c>
      <c r="D159" s="92" t="s">
        <v>258</v>
      </c>
      <c r="E159" s="92">
        <v>611021</v>
      </c>
      <c r="F159" s="92">
        <v>2210</v>
      </c>
      <c r="G159" s="137"/>
      <c r="H159" s="137">
        <v>1513</v>
      </c>
      <c r="I159" s="137" t="s">
        <v>696</v>
      </c>
      <c r="J159" s="137" t="s">
        <v>12</v>
      </c>
      <c r="K159" s="147">
        <v>128</v>
      </c>
      <c r="L159" s="148">
        <v>220.15</v>
      </c>
      <c r="M159" s="148">
        <v>28179.200000000001</v>
      </c>
      <c r="N159" s="157"/>
    </row>
    <row r="160" spans="1:14" s="158" customFormat="1">
      <c r="A160" s="157"/>
      <c r="B160" s="157" t="s">
        <v>51</v>
      </c>
      <c r="C160" s="92" t="s">
        <v>562</v>
      </c>
      <c r="D160" s="92" t="s">
        <v>258</v>
      </c>
      <c r="E160" s="92">
        <v>611021</v>
      </c>
      <c r="F160" s="92">
        <v>2210</v>
      </c>
      <c r="G160" s="137"/>
      <c r="H160" s="137">
        <v>1513</v>
      </c>
      <c r="I160" s="137" t="s">
        <v>697</v>
      </c>
      <c r="J160" s="137" t="s">
        <v>12</v>
      </c>
      <c r="K160" s="147">
        <v>35</v>
      </c>
      <c r="L160" s="148">
        <v>1665</v>
      </c>
      <c r="M160" s="148">
        <v>58275</v>
      </c>
      <c r="N160" s="157"/>
    </row>
    <row r="161" spans="1:14">
      <c r="A161" s="153"/>
      <c r="B161" s="153"/>
      <c r="C161" s="154"/>
      <c r="D161" s="154"/>
      <c r="E161" s="154"/>
      <c r="F161" s="154"/>
      <c r="G161" s="153"/>
      <c r="H161" s="153"/>
      <c r="I161" s="153" t="s">
        <v>14</v>
      </c>
      <c r="J161" s="153"/>
      <c r="K161" s="155"/>
      <c r="L161" s="156"/>
      <c r="M161" s="156">
        <f>SUM(M157:M160)</f>
        <v>203313.43</v>
      </c>
      <c r="N161" s="153"/>
    </row>
    <row r="162" spans="1:14" s="158" customFormat="1">
      <c r="A162" s="157"/>
      <c r="B162" s="157" t="s">
        <v>52</v>
      </c>
      <c r="C162" s="157" t="s">
        <v>84</v>
      </c>
      <c r="D162" s="92" t="s">
        <v>461</v>
      </c>
      <c r="E162" s="92">
        <v>611021</v>
      </c>
      <c r="F162" s="92">
        <v>2210</v>
      </c>
      <c r="G162" s="137"/>
      <c r="H162" s="137">
        <v>1113</v>
      </c>
      <c r="I162" s="137" t="s">
        <v>695</v>
      </c>
      <c r="J162" s="137" t="s">
        <v>12</v>
      </c>
      <c r="K162" s="147">
        <v>1</v>
      </c>
      <c r="L162" s="148">
        <v>5083.2299999999996</v>
      </c>
      <c r="M162" s="148">
        <v>5083.2299999999996</v>
      </c>
      <c r="N162" s="157"/>
    </row>
    <row r="163" spans="1:14" s="158" customFormat="1">
      <c r="A163" s="157"/>
      <c r="B163" s="157"/>
      <c r="C163" s="92"/>
      <c r="D163" s="92"/>
      <c r="E163" s="92"/>
      <c r="F163" s="92"/>
      <c r="G163" s="137"/>
      <c r="H163" s="137"/>
      <c r="I163" s="137"/>
      <c r="J163" s="137"/>
      <c r="K163" s="147"/>
      <c r="L163" s="148"/>
      <c r="M163" s="148"/>
      <c r="N163" s="157"/>
    </row>
    <row r="164" spans="1:14">
      <c r="A164" s="153"/>
      <c r="B164" s="153"/>
      <c r="C164" s="154"/>
      <c r="D164" s="154"/>
      <c r="E164" s="154"/>
      <c r="F164" s="154"/>
      <c r="G164" s="153"/>
      <c r="H164" s="153"/>
      <c r="I164" s="153" t="s">
        <v>14</v>
      </c>
      <c r="J164" s="153"/>
      <c r="K164" s="155"/>
      <c r="L164" s="156"/>
      <c r="M164" s="156">
        <f>SUM(M162:M163)</f>
        <v>5083.2299999999996</v>
      </c>
      <c r="N164" s="153"/>
    </row>
    <row r="165" spans="1:14" s="158" customFormat="1" ht="45">
      <c r="A165" s="157"/>
      <c r="B165" s="157" t="s">
        <v>84</v>
      </c>
      <c r="C165" s="92" t="s">
        <v>694</v>
      </c>
      <c r="D165" s="92" t="s">
        <v>461</v>
      </c>
      <c r="E165" s="92">
        <v>611021</v>
      </c>
      <c r="F165" s="92">
        <v>2210</v>
      </c>
      <c r="G165" s="137"/>
      <c r="H165" s="137">
        <v>1113</v>
      </c>
      <c r="I165" s="137" t="s">
        <v>695</v>
      </c>
      <c r="J165" s="137" t="s">
        <v>12</v>
      </c>
      <c r="K165" s="147">
        <v>1</v>
      </c>
      <c r="L165" s="148">
        <v>5083.2299999999996</v>
      </c>
      <c r="M165" s="148">
        <v>5083.2299999999996</v>
      </c>
      <c r="N165" s="157"/>
    </row>
    <row r="166" spans="1:14" s="158" customFormat="1" ht="45">
      <c r="A166" s="157"/>
      <c r="B166" s="157" t="s">
        <v>84</v>
      </c>
      <c r="C166" s="92" t="s">
        <v>694</v>
      </c>
      <c r="D166" s="92" t="s">
        <v>258</v>
      </c>
      <c r="E166" s="92">
        <v>611021</v>
      </c>
      <c r="F166" s="92">
        <v>2210</v>
      </c>
      <c r="G166" s="137"/>
      <c r="H166" s="137">
        <v>1513</v>
      </c>
      <c r="I166" s="137" t="s">
        <v>696</v>
      </c>
      <c r="J166" s="137" t="s">
        <v>12</v>
      </c>
      <c r="K166" s="147">
        <v>140</v>
      </c>
      <c r="L166" s="148">
        <v>220.15</v>
      </c>
      <c r="M166" s="148">
        <v>30821</v>
      </c>
      <c r="N166" s="157"/>
    </row>
    <row r="167" spans="1:14" s="158" customFormat="1" ht="45">
      <c r="A167" s="157"/>
      <c r="B167" s="157" t="s">
        <v>84</v>
      </c>
      <c r="C167" s="92" t="s">
        <v>694</v>
      </c>
      <c r="D167" s="92" t="s">
        <v>258</v>
      </c>
      <c r="E167" s="92">
        <v>611021</v>
      </c>
      <c r="F167" s="92">
        <v>2210</v>
      </c>
      <c r="G167" s="137"/>
      <c r="H167" s="137">
        <v>1513</v>
      </c>
      <c r="I167" s="137" t="s">
        <v>697</v>
      </c>
      <c r="J167" s="137" t="s">
        <v>12</v>
      </c>
      <c r="K167" s="147">
        <v>22</v>
      </c>
      <c r="L167" s="148">
        <v>1665</v>
      </c>
      <c r="M167" s="148">
        <v>36630</v>
      </c>
      <c r="N167" s="157"/>
    </row>
    <row r="168" spans="1:14">
      <c r="A168" s="153"/>
      <c r="B168" s="153"/>
      <c r="C168" s="154"/>
      <c r="D168" s="154"/>
      <c r="E168" s="154"/>
      <c r="F168" s="154"/>
      <c r="G168" s="153"/>
      <c r="H168" s="153"/>
      <c r="I168" s="153" t="s">
        <v>14</v>
      </c>
      <c r="J168" s="153"/>
      <c r="K168" s="155"/>
      <c r="L168" s="156"/>
      <c r="M168" s="156">
        <f>SUM(M165:M167)</f>
        <v>72534.23</v>
      </c>
      <c r="N168" s="153"/>
    </row>
    <row r="169" spans="1:14" s="158" customFormat="1" ht="45">
      <c r="A169" s="157"/>
      <c r="B169" s="157" t="s">
        <v>53</v>
      </c>
      <c r="C169" s="92" t="s">
        <v>694</v>
      </c>
      <c r="D169" s="92" t="s">
        <v>461</v>
      </c>
      <c r="E169" s="92">
        <v>611021</v>
      </c>
      <c r="F169" s="92">
        <v>2210</v>
      </c>
      <c r="G169" s="137"/>
      <c r="H169" s="137">
        <v>1113</v>
      </c>
      <c r="I169" s="137" t="s">
        <v>695</v>
      </c>
      <c r="J169" s="137" t="s">
        <v>12</v>
      </c>
      <c r="K169" s="147">
        <v>1</v>
      </c>
      <c r="L169" s="148">
        <v>5083.2299999999996</v>
      </c>
      <c r="M169" s="148">
        <v>5083.2299999999996</v>
      </c>
      <c r="N169" s="157"/>
    </row>
    <row r="170" spans="1:14">
      <c r="A170" s="153"/>
      <c r="B170" s="153"/>
      <c r="C170" s="154"/>
      <c r="D170" s="154"/>
      <c r="E170" s="154"/>
      <c r="F170" s="154"/>
      <c r="G170" s="153"/>
      <c r="H170" s="153"/>
      <c r="I170" s="153" t="s">
        <v>14</v>
      </c>
      <c r="J170" s="153"/>
      <c r="K170" s="155"/>
      <c r="L170" s="156"/>
      <c r="M170" s="156">
        <f>SUM(M169)</f>
        <v>5083.2299999999996</v>
      </c>
      <c r="N170" s="153"/>
    </row>
    <row r="171" spans="1:14" ht="45">
      <c r="A171" s="157"/>
      <c r="B171" s="157" t="s">
        <v>548</v>
      </c>
      <c r="C171" s="92" t="s">
        <v>694</v>
      </c>
      <c r="D171" s="92" t="s">
        <v>461</v>
      </c>
      <c r="E171" s="92">
        <v>611021</v>
      </c>
      <c r="F171" s="92">
        <v>2210</v>
      </c>
      <c r="G171" s="137"/>
      <c r="H171" s="137">
        <v>1113</v>
      </c>
      <c r="I171" s="137" t="s">
        <v>695</v>
      </c>
      <c r="J171" s="137" t="s">
        <v>12</v>
      </c>
      <c r="K171" s="147">
        <v>1</v>
      </c>
      <c r="L171" s="148">
        <v>5083.2299999999996</v>
      </c>
      <c r="M171" s="148">
        <v>5083.2299999999996</v>
      </c>
      <c r="N171" s="148" t="s">
        <v>458</v>
      </c>
    </row>
    <row r="172" spans="1:14">
      <c r="A172" s="153"/>
      <c r="B172" s="153"/>
      <c r="C172" s="154"/>
      <c r="D172" s="154"/>
      <c r="E172" s="154"/>
      <c r="F172" s="154"/>
      <c r="G172" s="153"/>
      <c r="H172" s="153"/>
      <c r="I172" s="153" t="s">
        <v>14</v>
      </c>
      <c r="J172" s="153"/>
      <c r="K172" s="155"/>
      <c r="L172" s="156"/>
      <c r="M172" s="156">
        <f>SUM(M171:M171)</f>
        <v>5083.2299999999996</v>
      </c>
      <c r="N172" s="153"/>
    </row>
    <row r="173" spans="1:14" ht="45">
      <c r="A173" s="137">
        <v>1</v>
      </c>
      <c r="B173" s="137" t="s">
        <v>54</v>
      </c>
      <c r="C173" s="92" t="s">
        <v>694</v>
      </c>
      <c r="D173" s="92" t="s">
        <v>461</v>
      </c>
      <c r="E173" s="92">
        <v>611021</v>
      </c>
      <c r="F173" s="92">
        <v>2210</v>
      </c>
      <c r="G173" s="137"/>
      <c r="H173" s="137">
        <v>1113</v>
      </c>
      <c r="I173" s="137" t="s">
        <v>695</v>
      </c>
      <c r="J173" s="137" t="s">
        <v>12</v>
      </c>
      <c r="K173" s="147">
        <v>1</v>
      </c>
      <c r="L173" s="148">
        <v>5083.2299999999996</v>
      </c>
      <c r="M173" s="148">
        <v>5083.2299999999996</v>
      </c>
      <c r="N173" s="137"/>
    </row>
    <row r="174" spans="1:14">
      <c r="A174" s="153"/>
      <c r="B174" s="153"/>
      <c r="C174" s="154"/>
      <c r="D174" s="154"/>
      <c r="E174" s="154"/>
      <c r="F174" s="154"/>
      <c r="G174" s="153"/>
      <c r="H174" s="153"/>
      <c r="I174" s="153" t="s">
        <v>14</v>
      </c>
      <c r="J174" s="153"/>
      <c r="K174" s="155"/>
      <c r="L174" s="156"/>
      <c r="M174" s="156">
        <f>SUM(M173:M173)</f>
        <v>5083.2299999999996</v>
      </c>
      <c r="N174" s="153">
        <f>SUM(N173:N173)</f>
        <v>0</v>
      </c>
    </row>
    <row r="175" spans="1:14" s="158" customFormat="1" ht="45">
      <c r="A175" s="157"/>
      <c r="B175" s="157" t="s">
        <v>113</v>
      </c>
      <c r="C175" s="92" t="s">
        <v>694</v>
      </c>
      <c r="D175" s="92" t="s">
        <v>461</v>
      </c>
      <c r="E175" s="92">
        <v>611021</v>
      </c>
      <c r="F175" s="92">
        <v>2210</v>
      </c>
      <c r="G175" s="137"/>
      <c r="H175" s="137">
        <v>1113</v>
      </c>
      <c r="I175" s="137" t="s">
        <v>695</v>
      </c>
      <c r="J175" s="137" t="s">
        <v>12</v>
      </c>
      <c r="K175" s="147">
        <v>1</v>
      </c>
      <c r="L175" s="148">
        <v>5083.2299999999996</v>
      </c>
      <c r="M175" s="148">
        <v>5083.2299999999996</v>
      </c>
      <c r="N175" s="157"/>
    </row>
    <row r="176" spans="1:14">
      <c r="A176" s="153"/>
      <c r="B176" s="153"/>
      <c r="C176" s="154"/>
      <c r="D176" s="154"/>
      <c r="E176" s="154"/>
      <c r="F176" s="154"/>
      <c r="G176" s="153"/>
      <c r="H176" s="153"/>
      <c r="I176" s="153" t="s">
        <v>14</v>
      </c>
      <c r="J176" s="153"/>
      <c r="K176" s="155"/>
      <c r="L176" s="156"/>
      <c r="M176" s="156">
        <f>SUM(M175)</f>
        <v>5083.2299999999996</v>
      </c>
      <c r="N176" s="153"/>
    </row>
    <row r="177" spans="1:16">
      <c r="A177" s="153"/>
      <c r="B177" s="153"/>
      <c r="C177" s="154"/>
      <c r="D177" s="154"/>
      <c r="E177" s="154"/>
      <c r="F177" s="154"/>
      <c r="G177" s="153"/>
      <c r="H177" s="153"/>
      <c r="I177" s="153"/>
      <c r="J177" s="153"/>
      <c r="K177" s="155"/>
      <c r="L177" s="156"/>
      <c r="M177" s="156"/>
      <c r="N177" s="153"/>
    </row>
    <row r="178" spans="1:16">
      <c r="A178" s="159"/>
      <c r="B178" s="160">
        <v>611021</v>
      </c>
      <c r="C178" s="161" t="s">
        <v>549</v>
      </c>
      <c r="D178" s="161"/>
      <c r="E178" s="161"/>
      <c r="F178" s="161"/>
      <c r="G178" s="160"/>
      <c r="H178" s="160"/>
      <c r="I178" s="160"/>
      <c r="J178" s="160"/>
      <c r="K178" s="162"/>
      <c r="L178" s="163"/>
      <c r="M178" s="163">
        <f>M174+M172+M154+M152+M145+M139+M133+M105+M60+M54+M52+M69+M161+M129+M176+M170+M168+M164+M156+M147+M141+M135+M111+M64+M58</f>
        <v>1272043.9199999997</v>
      </c>
      <c r="N178" s="148" t="s">
        <v>458</v>
      </c>
      <c r="P178" s="152">
        <f>M178-O178</f>
        <v>1272043.9199999997</v>
      </c>
    </row>
    <row r="179" spans="1:16">
      <c r="A179" s="157"/>
      <c r="B179" s="157" t="s">
        <v>496</v>
      </c>
      <c r="C179" s="92" t="s">
        <v>247</v>
      </c>
      <c r="D179" s="92" t="s">
        <v>247</v>
      </c>
      <c r="E179" s="92"/>
      <c r="F179" s="92">
        <v>2210</v>
      </c>
      <c r="G179" s="137"/>
      <c r="H179" s="137">
        <v>1113</v>
      </c>
      <c r="I179" s="137" t="s">
        <v>30</v>
      </c>
      <c r="J179" s="137" t="s">
        <v>12</v>
      </c>
      <c r="K179" s="147">
        <v>1</v>
      </c>
      <c r="L179" s="148">
        <v>3850</v>
      </c>
      <c r="M179" s="148">
        <v>3850</v>
      </c>
      <c r="N179" s="148" t="s">
        <v>458</v>
      </c>
    </row>
    <row r="180" spans="1:16">
      <c r="A180" s="153"/>
      <c r="B180" s="153"/>
      <c r="C180" s="154"/>
      <c r="D180" s="154"/>
      <c r="E180" s="154"/>
      <c r="F180" s="154"/>
      <c r="G180" s="153"/>
      <c r="H180" s="153"/>
      <c r="I180" s="153" t="s">
        <v>14</v>
      </c>
      <c r="J180" s="153"/>
      <c r="K180" s="155"/>
      <c r="L180" s="156"/>
      <c r="M180" s="156">
        <f>SUM(M179)</f>
        <v>3850</v>
      </c>
      <c r="N180" s="148"/>
      <c r="O180" s="149" t="s">
        <v>708</v>
      </c>
    </row>
    <row r="181" spans="1:16">
      <c r="A181" s="157"/>
      <c r="B181" s="157" t="s">
        <v>494</v>
      </c>
      <c r="C181" s="92" t="s">
        <v>562</v>
      </c>
      <c r="D181" s="92" t="s">
        <v>258</v>
      </c>
      <c r="E181" s="92">
        <v>611010</v>
      </c>
      <c r="F181" s="92">
        <v>2210</v>
      </c>
      <c r="G181" s="137"/>
      <c r="H181" s="137">
        <v>1513</v>
      </c>
      <c r="I181" s="137" t="s">
        <v>696</v>
      </c>
      <c r="J181" s="137" t="s">
        <v>12</v>
      </c>
      <c r="K181" s="147">
        <v>10</v>
      </c>
      <c r="L181" s="148">
        <v>220.15</v>
      </c>
      <c r="M181" s="148">
        <v>2201.5</v>
      </c>
      <c r="N181" s="148"/>
      <c r="O181" s="152">
        <f>M181+M187+M190+M192+M195+M199+M202</f>
        <v>31041.149999999998</v>
      </c>
    </row>
    <row r="182" spans="1:16">
      <c r="A182" s="157"/>
      <c r="B182" s="157" t="s">
        <v>494</v>
      </c>
      <c r="C182" s="92" t="s">
        <v>562</v>
      </c>
      <c r="D182" s="92" t="s">
        <v>258</v>
      </c>
      <c r="E182" s="92">
        <v>611010</v>
      </c>
      <c r="F182" s="92">
        <v>2210</v>
      </c>
      <c r="G182" s="137"/>
      <c r="H182" s="137">
        <v>1513</v>
      </c>
      <c r="I182" s="137" t="s">
        <v>697</v>
      </c>
      <c r="J182" s="137" t="s">
        <v>12</v>
      </c>
      <c r="K182" s="147">
        <v>12</v>
      </c>
      <c r="L182" s="148">
        <v>1665</v>
      </c>
      <c r="M182" s="148">
        <v>19980</v>
      </c>
      <c r="N182" s="148"/>
      <c r="O182" s="149" t="s">
        <v>709</v>
      </c>
    </row>
    <row r="183" spans="1:16">
      <c r="A183" s="153"/>
      <c r="B183" s="153"/>
      <c r="C183" s="154"/>
      <c r="D183" s="154"/>
      <c r="E183" s="154"/>
      <c r="F183" s="154"/>
      <c r="G183" s="153"/>
      <c r="H183" s="153"/>
      <c r="I183" s="153" t="s">
        <v>14</v>
      </c>
      <c r="J183" s="153"/>
      <c r="K183" s="155"/>
      <c r="L183" s="156"/>
      <c r="M183" s="156">
        <f>SUM(M181:M182)</f>
        <v>22181.5</v>
      </c>
      <c r="N183" s="148"/>
      <c r="O183" s="152">
        <f>M182+M188+M193+M197+M200</f>
        <v>109890</v>
      </c>
    </row>
    <row r="184" spans="1:16" ht="45">
      <c r="A184" s="157"/>
      <c r="B184" s="157" t="s">
        <v>495</v>
      </c>
      <c r="C184" s="92" t="s">
        <v>694</v>
      </c>
      <c r="D184" s="92" t="s">
        <v>258</v>
      </c>
      <c r="E184" s="92">
        <v>611010</v>
      </c>
      <c r="F184" s="92">
        <v>2210</v>
      </c>
      <c r="G184" s="137"/>
      <c r="H184" s="137">
        <v>1513</v>
      </c>
      <c r="I184" s="137" t="s">
        <v>696</v>
      </c>
      <c r="J184" s="137" t="s">
        <v>12</v>
      </c>
      <c r="K184" s="147">
        <v>20</v>
      </c>
      <c r="L184" s="148">
        <v>220.15</v>
      </c>
      <c r="M184" s="148">
        <v>4403</v>
      </c>
      <c r="N184" s="148"/>
    </row>
    <row r="185" spans="1:16" ht="45">
      <c r="A185" s="157"/>
      <c r="B185" s="157" t="s">
        <v>495</v>
      </c>
      <c r="C185" s="92" t="s">
        <v>694</v>
      </c>
      <c r="D185" s="92" t="s">
        <v>258</v>
      </c>
      <c r="E185" s="92">
        <v>611010</v>
      </c>
      <c r="F185" s="92">
        <v>2210</v>
      </c>
      <c r="G185" s="137"/>
      <c r="H185" s="137">
        <v>1513</v>
      </c>
      <c r="I185" s="137" t="s">
        <v>697</v>
      </c>
      <c r="J185" s="137" t="s">
        <v>12</v>
      </c>
      <c r="K185" s="147">
        <v>10</v>
      </c>
      <c r="L185" s="148">
        <v>1665</v>
      </c>
      <c r="M185" s="148">
        <v>16650</v>
      </c>
      <c r="N185" s="148"/>
    </row>
    <row r="186" spans="1:16">
      <c r="A186" s="153"/>
      <c r="B186" s="153"/>
      <c r="C186" s="154"/>
      <c r="D186" s="154"/>
      <c r="E186" s="154"/>
      <c r="F186" s="154"/>
      <c r="G186" s="153"/>
      <c r="H186" s="153"/>
      <c r="I186" s="153" t="s">
        <v>14</v>
      </c>
      <c r="J186" s="153"/>
      <c r="K186" s="155"/>
      <c r="L186" s="156"/>
      <c r="M186" s="156">
        <f>SUM(M184:M185)</f>
        <v>21053</v>
      </c>
      <c r="N186" s="148"/>
    </row>
    <row r="187" spans="1:16">
      <c r="A187" s="157"/>
      <c r="B187" s="157" t="s">
        <v>497</v>
      </c>
      <c r="C187" s="92" t="s">
        <v>562</v>
      </c>
      <c r="D187" s="92" t="s">
        <v>258</v>
      </c>
      <c r="E187" s="92">
        <v>611010</v>
      </c>
      <c r="F187" s="92">
        <v>2210</v>
      </c>
      <c r="G187" s="137"/>
      <c r="H187" s="137">
        <v>1513</v>
      </c>
      <c r="I187" s="137" t="s">
        <v>696</v>
      </c>
      <c r="J187" s="137" t="s">
        <v>12</v>
      </c>
      <c r="K187" s="147">
        <v>27</v>
      </c>
      <c r="L187" s="148">
        <v>220.15</v>
      </c>
      <c r="M187" s="148">
        <v>5944.05</v>
      </c>
      <c r="N187" s="148"/>
    </row>
    <row r="188" spans="1:16">
      <c r="A188" s="157"/>
      <c r="B188" s="157" t="s">
        <v>497</v>
      </c>
      <c r="C188" s="92" t="s">
        <v>562</v>
      </c>
      <c r="D188" s="92" t="s">
        <v>258</v>
      </c>
      <c r="E188" s="92">
        <v>611010</v>
      </c>
      <c r="F188" s="92">
        <v>2210</v>
      </c>
      <c r="G188" s="137"/>
      <c r="H188" s="137">
        <v>1513</v>
      </c>
      <c r="I188" s="137" t="s">
        <v>697</v>
      </c>
      <c r="J188" s="137" t="s">
        <v>12</v>
      </c>
      <c r="K188" s="147">
        <v>10</v>
      </c>
      <c r="L188" s="148">
        <v>1665</v>
      </c>
      <c r="M188" s="148">
        <v>16650</v>
      </c>
      <c r="N188" s="148"/>
    </row>
    <row r="189" spans="1:16">
      <c r="A189" s="153"/>
      <c r="B189" s="153"/>
      <c r="C189" s="154"/>
      <c r="D189" s="154"/>
      <c r="E189" s="154"/>
      <c r="F189" s="154"/>
      <c r="G189" s="153"/>
      <c r="H189" s="153"/>
      <c r="I189" s="153"/>
      <c r="J189" s="153"/>
      <c r="K189" s="155"/>
      <c r="L189" s="156"/>
      <c r="M189" s="156">
        <f>SUM(M187:M188)</f>
        <v>22594.05</v>
      </c>
      <c r="N189" s="148"/>
    </row>
    <row r="190" spans="1:16">
      <c r="A190" s="157"/>
      <c r="B190" s="157" t="s">
        <v>499</v>
      </c>
      <c r="C190" s="92" t="s">
        <v>562</v>
      </c>
      <c r="D190" s="92" t="s">
        <v>258</v>
      </c>
      <c r="E190" s="92">
        <v>611010</v>
      </c>
      <c r="F190" s="92">
        <v>2210</v>
      </c>
      <c r="G190" s="137"/>
      <c r="H190" s="137">
        <v>1513</v>
      </c>
      <c r="I190" s="137" t="s">
        <v>696</v>
      </c>
      <c r="J190" s="137" t="s">
        <v>12</v>
      </c>
      <c r="K190" s="147">
        <v>27</v>
      </c>
      <c r="L190" s="148">
        <v>220.15</v>
      </c>
      <c r="M190" s="148">
        <v>5944.05</v>
      </c>
      <c r="N190" s="148"/>
    </row>
    <row r="191" spans="1:16">
      <c r="A191" s="157"/>
      <c r="B191" s="153"/>
      <c r="C191" s="154"/>
      <c r="D191" s="154"/>
      <c r="E191" s="154"/>
      <c r="F191" s="154"/>
      <c r="G191" s="153"/>
      <c r="H191" s="153"/>
      <c r="I191" s="153"/>
      <c r="J191" s="153"/>
      <c r="K191" s="155"/>
      <c r="L191" s="156"/>
      <c r="M191" s="156">
        <f>SUM(M190)</f>
        <v>5944.05</v>
      </c>
      <c r="N191" s="148"/>
    </row>
    <row r="192" spans="1:16">
      <c r="A192" s="157"/>
      <c r="B192" s="157" t="s">
        <v>347</v>
      </c>
      <c r="C192" s="92" t="s">
        <v>562</v>
      </c>
      <c r="D192" s="92" t="s">
        <v>258</v>
      </c>
      <c r="E192" s="92">
        <v>611010</v>
      </c>
      <c r="F192" s="92">
        <v>2210</v>
      </c>
      <c r="G192" s="137"/>
      <c r="H192" s="137">
        <v>1513</v>
      </c>
      <c r="I192" s="137" t="s">
        <v>696</v>
      </c>
      <c r="J192" s="137" t="s">
        <v>12</v>
      </c>
      <c r="K192" s="147">
        <v>11</v>
      </c>
      <c r="L192" s="148">
        <v>220.15</v>
      </c>
      <c r="M192" s="148">
        <v>2421.65</v>
      </c>
      <c r="N192" s="148"/>
    </row>
    <row r="193" spans="1:14">
      <c r="A193" s="157"/>
      <c r="B193" s="157" t="s">
        <v>347</v>
      </c>
      <c r="C193" s="92" t="s">
        <v>562</v>
      </c>
      <c r="D193" s="92" t="s">
        <v>258</v>
      </c>
      <c r="E193" s="92">
        <v>611010</v>
      </c>
      <c r="F193" s="92">
        <v>2210</v>
      </c>
      <c r="G193" s="137"/>
      <c r="H193" s="137">
        <v>1513</v>
      </c>
      <c r="I193" s="137" t="s">
        <v>697</v>
      </c>
      <c r="J193" s="137" t="s">
        <v>12</v>
      </c>
      <c r="K193" s="147">
        <v>12</v>
      </c>
      <c r="L193" s="148">
        <v>1665</v>
      </c>
      <c r="M193" s="148">
        <v>19980</v>
      </c>
      <c r="N193" s="148"/>
    </row>
    <row r="194" spans="1:14">
      <c r="A194" s="153"/>
      <c r="B194" s="153"/>
      <c r="C194" s="154"/>
      <c r="D194" s="154"/>
      <c r="E194" s="154"/>
      <c r="F194" s="154"/>
      <c r="G194" s="153"/>
      <c r="H194" s="153"/>
      <c r="I194" s="153"/>
      <c r="J194" s="153"/>
      <c r="K194" s="155"/>
      <c r="L194" s="156"/>
      <c r="M194" s="156">
        <f>SUM(M192:M193)</f>
        <v>22401.65</v>
      </c>
      <c r="N194" s="148"/>
    </row>
    <row r="195" spans="1:14" s="158" customFormat="1">
      <c r="A195" s="157"/>
      <c r="B195" s="157" t="s">
        <v>500</v>
      </c>
      <c r="C195" s="92" t="s">
        <v>562</v>
      </c>
      <c r="D195" s="92" t="s">
        <v>258</v>
      </c>
      <c r="E195" s="92">
        <v>611010</v>
      </c>
      <c r="F195" s="92">
        <v>2210</v>
      </c>
      <c r="G195" s="137"/>
      <c r="H195" s="137">
        <v>1513</v>
      </c>
      <c r="I195" s="137" t="s">
        <v>696</v>
      </c>
      <c r="J195" s="137" t="s">
        <v>12</v>
      </c>
      <c r="K195" s="147">
        <v>12</v>
      </c>
      <c r="L195" s="148">
        <v>220.15</v>
      </c>
      <c r="M195" s="148">
        <v>2641.8</v>
      </c>
      <c r="N195" s="151"/>
    </row>
    <row r="196" spans="1:14">
      <c r="A196" s="153"/>
      <c r="B196" s="153"/>
      <c r="C196" s="154"/>
      <c r="D196" s="154"/>
      <c r="E196" s="154"/>
      <c r="F196" s="154"/>
      <c r="G196" s="153"/>
      <c r="H196" s="153"/>
      <c r="I196" s="153"/>
      <c r="J196" s="153"/>
      <c r="K196" s="155"/>
      <c r="L196" s="156"/>
      <c r="M196" s="156">
        <f>SUM(M195)</f>
        <v>2641.8</v>
      </c>
      <c r="N196" s="148"/>
    </row>
    <row r="197" spans="1:14" s="158" customFormat="1">
      <c r="A197" s="157"/>
      <c r="B197" s="157" t="s">
        <v>594</v>
      </c>
      <c r="C197" s="92" t="s">
        <v>562</v>
      </c>
      <c r="D197" s="92" t="s">
        <v>258</v>
      </c>
      <c r="E197" s="92">
        <v>611010</v>
      </c>
      <c r="F197" s="92">
        <v>2210</v>
      </c>
      <c r="G197" s="137"/>
      <c r="H197" s="137">
        <v>1513</v>
      </c>
      <c r="I197" s="137" t="s">
        <v>697</v>
      </c>
      <c r="J197" s="137" t="s">
        <v>12</v>
      </c>
      <c r="K197" s="147">
        <v>20</v>
      </c>
      <c r="L197" s="148">
        <v>1665</v>
      </c>
      <c r="M197" s="148">
        <v>33300</v>
      </c>
      <c r="N197" s="151"/>
    </row>
    <row r="198" spans="1:14">
      <c r="A198" s="153"/>
      <c r="B198" s="153"/>
      <c r="C198" s="154"/>
      <c r="D198" s="154"/>
      <c r="E198" s="154"/>
      <c r="F198" s="154"/>
      <c r="G198" s="153"/>
      <c r="H198" s="153"/>
      <c r="I198" s="153"/>
      <c r="J198" s="153"/>
      <c r="K198" s="155"/>
      <c r="L198" s="156"/>
      <c r="M198" s="156">
        <f>SUM(M197)</f>
        <v>33300</v>
      </c>
      <c r="N198" s="148"/>
    </row>
    <row r="199" spans="1:14">
      <c r="A199" s="157"/>
      <c r="B199" s="157" t="s">
        <v>698</v>
      </c>
      <c r="C199" s="92" t="s">
        <v>562</v>
      </c>
      <c r="D199" s="92" t="s">
        <v>258</v>
      </c>
      <c r="E199" s="92">
        <v>611010</v>
      </c>
      <c r="F199" s="92">
        <v>2210</v>
      </c>
      <c r="G199" s="137"/>
      <c r="H199" s="137">
        <v>1513</v>
      </c>
      <c r="I199" s="137" t="s">
        <v>696</v>
      </c>
      <c r="J199" s="137" t="s">
        <v>12</v>
      </c>
      <c r="K199" s="147">
        <v>27</v>
      </c>
      <c r="L199" s="148">
        <v>220.15</v>
      </c>
      <c r="M199" s="148">
        <v>5944.05</v>
      </c>
      <c r="N199" s="148"/>
    </row>
    <row r="200" spans="1:14">
      <c r="A200" s="157"/>
      <c r="B200" s="157" t="s">
        <v>698</v>
      </c>
      <c r="C200" s="92" t="s">
        <v>562</v>
      </c>
      <c r="D200" s="92" t="s">
        <v>258</v>
      </c>
      <c r="E200" s="92">
        <v>611010</v>
      </c>
      <c r="F200" s="92">
        <v>2210</v>
      </c>
      <c r="G200" s="137"/>
      <c r="H200" s="137">
        <v>1513</v>
      </c>
      <c r="I200" s="137" t="s">
        <v>697</v>
      </c>
      <c r="J200" s="137" t="s">
        <v>12</v>
      </c>
      <c r="K200" s="147">
        <v>12</v>
      </c>
      <c r="L200" s="148">
        <v>1665</v>
      </c>
      <c r="M200" s="148">
        <v>19980</v>
      </c>
      <c r="N200" s="148"/>
    </row>
    <row r="201" spans="1:14">
      <c r="A201" s="153"/>
      <c r="B201" s="153"/>
      <c r="C201" s="154"/>
      <c r="D201" s="154"/>
      <c r="E201" s="154"/>
      <c r="F201" s="154"/>
      <c r="G201" s="153"/>
      <c r="H201" s="153"/>
      <c r="I201" s="153"/>
      <c r="J201" s="153"/>
      <c r="K201" s="155"/>
      <c r="L201" s="156"/>
      <c r="M201" s="156">
        <f>SUM(M199:M200)</f>
        <v>25924.05</v>
      </c>
      <c r="N201" s="148"/>
    </row>
    <row r="202" spans="1:14">
      <c r="A202" s="157"/>
      <c r="B202" s="157" t="s">
        <v>504</v>
      </c>
      <c r="C202" s="92" t="s">
        <v>562</v>
      </c>
      <c r="D202" s="92" t="s">
        <v>258</v>
      </c>
      <c r="E202" s="92">
        <v>611010</v>
      </c>
      <c r="F202" s="92">
        <v>2210</v>
      </c>
      <c r="G202" s="137"/>
      <c r="H202" s="137">
        <v>1513</v>
      </c>
      <c r="I202" s="137" t="s">
        <v>696</v>
      </c>
      <c r="J202" s="137" t="s">
        <v>12</v>
      </c>
      <c r="K202" s="147">
        <v>27</v>
      </c>
      <c r="L202" s="148">
        <v>220.15</v>
      </c>
      <c r="M202" s="148">
        <v>5944.05</v>
      </c>
      <c r="N202" s="148"/>
    </row>
    <row r="203" spans="1:14">
      <c r="A203" s="153"/>
      <c r="B203" s="153"/>
      <c r="C203" s="154"/>
      <c r="D203" s="154"/>
      <c r="E203" s="154"/>
      <c r="F203" s="154"/>
      <c r="G203" s="153"/>
      <c r="H203" s="153"/>
      <c r="I203" s="153"/>
      <c r="J203" s="153"/>
      <c r="K203" s="155"/>
      <c r="L203" s="156"/>
      <c r="M203" s="156">
        <f>SUM(M202)</f>
        <v>5944.05</v>
      </c>
      <c r="N203" s="153">
        <f>SUM(N178:N179)</f>
        <v>0</v>
      </c>
    </row>
    <row r="204" spans="1:14">
      <c r="A204" s="159"/>
      <c r="B204" s="160">
        <v>611010</v>
      </c>
      <c r="C204" s="161" t="s">
        <v>551</v>
      </c>
      <c r="D204" s="161"/>
      <c r="E204" s="161"/>
      <c r="F204" s="161"/>
      <c r="G204" s="160"/>
      <c r="H204" s="160"/>
      <c r="I204" s="160"/>
      <c r="J204" s="160"/>
      <c r="K204" s="162"/>
      <c r="L204" s="163"/>
      <c r="M204" s="163">
        <f>M203+M201+M198+M196+M194+M191+M189+M186+M183+M180</f>
        <v>165834.15</v>
      </c>
      <c r="N204" s="148" t="s">
        <v>458</v>
      </c>
    </row>
    <row r="205" spans="1:14" hidden="1">
      <c r="A205" s="157"/>
      <c r="B205" s="157" t="s">
        <v>552</v>
      </c>
      <c r="C205" s="92"/>
      <c r="D205" s="92"/>
      <c r="E205" s="92"/>
      <c r="F205" s="92"/>
      <c r="G205" s="137"/>
      <c r="H205" s="137"/>
      <c r="I205" s="137"/>
      <c r="J205" s="137"/>
      <c r="K205" s="147"/>
      <c r="L205" s="148"/>
      <c r="M205" s="148"/>
      <c r="N205" s="148" t="s">
        <v>458</v>
      </c>
    </row>
    <row r="206" spans="1:14" hidden="1">
      <c r="A206" s="157"/>
      <c r="B206" s="157" t="s">
        <v>552</v>
      </c>
      <c r="C206" s="92"/>
      <c r="D206" s="92"/>
      <c r="E206" s="92"/>
      <c r="F206" s="92"/>
      <c r="G206" s="137"/>
      <c r="H206" s="137"/>
      <c r="I206" s="137"/>
      <c r="J206" s="137"/>
      <c r="K206" s="147"/>
      <c r="L206" s="148"/>
      <c r="M206" s="148"/>
      <c r="N206" s="148"/>
    </row>
    <row r="207" spans="1:14" hidden="1">
      <c r="A207" s="157"/>
      <c r="B207" s="157" t="s">
        <v>552</v>
      </c>
      <c r="C207" s="92"/>
      <c r="D207" s="92"/>
      <c r="E207" s="92"/>
      <c r="F207" s="92"/>
      <c r="G207" s="137"/>
      <c r="H207" s="137"/>
      <c r="I207" s="137"/>
      <c r="J207" s="137"/>
      <c r="K207" s="147"/>
      <c r="L207" s="148"/>
      <c r="M207" s="148"/>
      <c r="N207" s="148"/>
    </row>
    <row r="208" spans="1:14" hidden="1">
      <c r="A208" s="157"/>
      <c r="B208" s="157" t="s">
        <v>552</v>
      </c>
      <c r="C208" s="92"/>
      <c r="D208" s="92"/>
      <c r="E208" s="92"/>
      <c r="F208" s="92"/>
      <c r="G208" s="137"/>
      <c r="H208" s="137"/>
      <c r="I208" s="137"/>
      <c r="J208" s="137"/>
      <c r="K208" s="147"/>
      <c r="L208" s="148"/>
      <c r="M208" s="148"/>
      <c r="N208" s="148"/>
    </row>
    <row r="209" spans="1:14" hidden="1">
      <c r="A209" s="157"/>
      <c r="B209" s="157" t="s">
        <v>552</v>
      </c>
      <c r="C209" s="92"/>
      <c r="D209" s="92"/>
      <c r="E209" s="92"/>
      <c r="F209" s="92"/>
      <c r="G209" s="137"/>
      <c r="H209" s="137"/>
      <c r="I209" s="137"/>
      <c r="J209" s="137"/>
      <c r="K209" s="147"/>
      <c r="L209" s="148"/>
      <c r="M209" s="148"/>
      <c r="N209" s="148"/>
    </row>
    <row r="210" spans="1:14" hidden="1">
      <c r="A210" s="157"/>
      <c r="B210" s="157" t="s">
        <v>552</v>
      </c>
      <c r="C210" s="92"/>
      <c r="D210" s="92"/>
      <c r="E210" s="92"/>
      <c r="F210" s="92"/>
      <c r="G210" s="137"/>
      <c r="H210" s="137"/>
      <c r="I210" s="137"/>
      <c r="J210" s="137"/>
      <c r="K210" s="147"/>
      <c r="L210" s="148"/>
      <c r="M210" s="148"/>
      <c r="N210" s="148" t="s">
        <v>458</v>
      </c>
    </row>
    <row r="211" spans="1:14" hidden="1">
      <c r="A211" s="157"/>
      <c r="B211" s="157" t="s">
        <v>552</v>
      </c>
      <c r="C211" s="92"/>
      <c r="D211" s="92"/>
      <c r="E211" s="92"/>
      <c r="F211" s="92"/>
      <c r="G211" s="137"/>
      <c r="H211" s="137"/>
      <c r="I211" s="137"/>
      <c r="J211" s="137"/>
      <c r="K211" s="147"/>
      <c r="L211" s="148"/>
      <c r="M211" s="148"/>
      <c r="N211" s="148"/>
    </row>
    <row r="212" spans="1:14" hidden="1">
      <c r="A212" s="157"/>
      <c r="B212" s="157" t="s">
        <v>552</v>
      </c>
      <c r="C212" s="92"/>
      <c r="D212" s="92"/>
      <c r="E212" s="92"/>
      <c r="F212" s="92"/>
      <c r="G212" s="137"/>
      <c r="H212" s="137"/>
      <c r="I212" s="137"/>
      <c r="J212" s="137"/>
      <c r="K212" s="147"/>
      <c r="L212" s="148"/>
      <c r="M212" s="148"/>
      <c r="N212" s="148"/>
    </row>
    <row r="213" spans="1:14" hidden="1">
      <c r="A213" s="153"/>
      <c r="B213" s="153"/>
      <c r="C213" s="154"/>
      <c r="D213" s="154"/>
      <c r="E213" s="154"/>
      <c r="F213" s="154"/>
      <c r="G213" s="153"/>
      <c r="H213" s="153"/>
      <c r="I213" s="153" t="s">
        <v>14</v>
      </c>
      <c r="J213" s="153"/>
      <c r="K213" s="155"/>
      <c r="L213" s="156"/>
      <c r="M213" s="156">
        <f>SUM(M205:M212)</f>
        <v>0</v>
      </c>
      <c r="N213" s="153">
        <f>SUM(N204:N210)</f>
        <v>0</v>
      </c>
    </row>
    <row r="214" spans="1:14" hidden="1">
      <c r="A214" s="159"/>
      <c r="B214" s="160">
        <v>611070</v>
      </c>
      <c r="C214" s="164" t="s">
        <v>559</v>
      </c>
      <c r="D214" s="164"/>
      <c r="E214" s="164"/>
      <c r="F214" s="164"/>
      <c r="G214" s="159"/>
      <c r="H214" s="159"/>
      <c r="I214" s="159"/>
      <c r="J214" s="159"/>
      <c r="K214" s="165"/>
      <c r="L214" s="166"/>
      <c r="M214" s="166">
        <f>M213</f>
        <v>0</v>
      </c>
      <c r="N214" s="148" t="s">
        <v>458</v>
      </c>
    </row>
    <row r="215" spans="1:14" hidden="1">
      <c r="A215" s="157"/>
      <c r="B215" s="167" t="s">
        <v>85</v>
      </c>
      <c r="C215" s="168"/>
      <c r="D215" s="168"/>
      <c r="E215" s="168"/>
      <c r="F215" s="168"/>
      <c r="G215" s="157"/>
      <c r="H215" s="157"/>
      <c r="I215" s="157"/>
      <c r="J215" s="157"/>
      <c r="K215" s="150"/>
      <c r="L215" s="151"/>
      <c r="M215" s="151"/>
      <c r="N215" s="148"/>
    </row>
    <row r="216" spans="1:14" hidden="1">
      <c r="A216" s="157"/>
      <c r="B216" s="167" t="s">
        <v>85</v>
      </c>
      <c r="C216" s="168"/>
      <c r="D216" s="168"/>
      <c r="E216" s="168"/>
      <c r="F216" s="168"/>
      <c r="G216" s="157"/>
      <c r="H216" s="157"/>
      <c r="I216" s="157"/>
      <c r="J216" s="157"/>
      <c r="K216" s="150"/>
      <c r="L216" s="151"/>
      <c r="M216" s="151"/>
      <c r="N216" s="148"/>
    </row>
    <row r="217" spans="1:14" hidden="1">
      <c r="A217" s="157"/>
      <c r="B217" s="167" t="s">
        <v>85</v>
      </c>
      <c r="C217" s="168"/>
      <c r="D217" s="168"/>
      <c r="E217" s="168"/>
      <c r="F217" s="168"/>
      <c r="G217" s="157"/>
      <c r="H217" s="157"/>
      <c r="I217" s="157"/>
      <c r="J217" s="157"/>
      <c r="K217" s="150"/>
      <c r="L217" s="151"/>
      <c r="M217" s="151"/>
      <c r="N217" s="148"/>
    </row>
    <row r="218" spans="1:14" hidden="1">
      <c r="A218" s="159"/>
      <c r="B218" s="160"/>
      <c r="C218" s="164"/>
      <c r="D218" s="164"/>
      <c r="E218" s="164"/>
      <c r="F218" s="164"/>
      <c r="G218" s="159"/>
      <c r="H218" s="159"/>
      <c r="I218" s="159"/>
      <c r="J218" s="159"/>
      <c r="K218" s="165"/>
      <c r="L218" s="166"/>
      <c r="M218" s="166">
        <f>SUM(M215:M217)</f>
        <v>0</v>
      </c>
      <c r="N218" s="148"/>
    </row>
    <row r="219" spans="1:14">
      <c r="A219" s="159"/>
      <c r="B219" s="159"/>
      <c r="C219" s="159" t="s">
        <v>307</v>
      </c>
      <c r="D219" s="159"/>
      <c r="E219" s="159"/>
      <c r="F219" s="159"/>
      <c r="G219" s="159"/>
      <c r="H219" s="159"/>
      <c r="I219" s="159"/>
      <c r="J219" s="159"/>
      <c r="K219" s="165"/>
      <c r="L219" s="166"/>
      <c r="M219" s="169">
        <f>M218+M214+M204+M178</f>
        <v>1437878.0699999996</v>
      </c>
      <c r="N219" s="159"/>
    </row>
    <row r="221" spans="1:14">
      <c r="B221" s="149" t="s">
        <v>77</v>
      </c>
    </row>
  </sheetData>
  <mergeCells count="1">
    <mergeCell ref="A1:N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0"/>
  <sheetViews>
    <sheetView tabSelected="1" view="pageBreakPreview" zoomScale="89" zoomScaleSheetLayoutView="89" workbookViewId="0">
      <selection activeCell="D28" sqref="D28"/>
    </sheetView>
  </sheetViews>
  <sheetFormatPr defaultRowHeight="15"/>
  <cols>
    <col min="1" max="1" width="22.5703125" style="38" customWidth="1"/>
    <col min="2" max="2" width="36.28515625" style="38" customWidth="1"/>
    <col min="3" max="3" width="9.140625" style="64" customWidth="1"/>
    <col min="4" max="4" width="6.5703125" style="44" customWidth="1"/>
    <col min="5" max="5" width="16.42578125" style="44" customWidth="1"/>
    <col min="6" max="6" width="19.5703125" style="38" customWidth="1"/>
    <col min="7" max="16384" width="9.140625" style="38"/>
  </cols>
  <sheetData>
    <row r="1" spans="1:6" ht="29.25" customHeight="1">
      <c r="A1" s="179" t="s">
        <v>710</v>
      </c>
      <c r="B1" s="179"/>
      <c r="C1" s="179"/>
      <c r="D1" s="179"/>
      <c r="E1" s="179"/>
      <c r="F1" s="179"/>
    </row>
    <row r="2" spans="1:6" ht="15.75">
      <c r="A2" s="89" t="s">
        <v>1</v>
      </c>
      <c r="B2" s="89" t="s">
        <v>702</v>
      </c>
      <c r="C2" s="90" t="s">
        <v>711</v>
      </c>
      <c r="D2" s="91" t="s">
        <v>703</v>
      </c>
      <c r="E2" s="91" t="s">
        <v>712</v>
      </c>
      <c r="F2" s="89" t="s">
        <v>704</v>
      </c>
    </row>
    <row r="3" spans="1:6" s="57" customFormat="1">
      <c r="A3" s="51" t="s">
        <v>701</v>
      </c>
      <c r="B3" s="124" t="s">
        <v>700</v>
      </c>
      <c r="C3" s="40" t="s">
        <v>12</v>
      </c>
      <c r="D3" s="41">
        <v>1</v>
      </c>
      <c r="E3" s="42">
        <v>2284.75</v>
      </c>
      <c r="F3" s="42">
        <v>2284.75</v>
      </c>
    </row>
    <row r="4" spans="1:6" s="57" customFormat="1">
      <c r="A4" s="51" t="s">
        <v>701</v>
      </c>
      <c r="B4" s="124" t="s">
        <v>697</v>
      </c>
      <c r="C4" s="40" t="s">
        <v>12</v>
      </c>
      <c r="D4" s="41">
        <v>3</v>
      </c>
      <c r="E4" s="42">
        <v>1665</v>
      </c>
      <c r="F4" s="42">
        <v>4995</v>
      </c>
    </row>
    <row r="5" spans="1:6" s="57" customFormat="1">
      <c r="A5" s="51" t="s">
        <v>701</v>
      </c>
      <c r="B5" s="124" t="s">
        <v>705</v>
      </c>
      <c r="C5" s="40" t="s">
        <v>12</v>
      </c>
      <c r="D5" s="41">
        <v>3</v>
      </c>
      <c r="E5" s="42">
        <v>426.61</v>
      </c>
      <c r="F5" s="42">
        <v>1279.83</v>
      </c>
    </row>
    <row r="6" spans="1:6" s="57" customFormat="1" hidden="1">
      <c r="A6" s="51" t="s">
        <v>701</v>
      </c>
      <c r="B6" s="124"/>
      <c r="C6" s="40"/>
      <c r="D6" s="41"/>
      <c r="E6" s="42"/>
      <c r="F6" s="42"/>
    </row>
    <row r="7" spans="1:6" s="57" customFormat="1" hidden="1">
      <c r="A7" s="51" t="s">
        <v>701</v>
      </c>
      <c r="B7" s="124"/>
      <c r="C7" s="40"/>
      <c r="D7" s="41"/>
      <c r="E7" s="42"/>
      <c r="F7" s="42"/>
    </row>
    <row r="8" spans="1:6" s="57" customFormat="1">
      <c r="A8" s="51" t="s">
        <v>701</v>
      </c>
      <c r="B8" s="124" t="s">
        <v>706</v>
      </c>
      <c r="C8" s="40" t="s">
        <v>12</v>
      </c>
      <c r="D8" s="41">
        <v>1</v>
      </c>
      <c r="E8" s="42">
        <v>375</v>
      </c>
      <c r="F8" s="42">
        <v>375</v>
      </c>
    </row>
    <row r="9" spans="1:6">
      <c r="A9" s="46"/>
      <c r="B9" s="46"/>
      <c r="C9" s="48"/>
      <c r="D9" s="49"/>
      <c r="E9" s="49"/>
      <c r="F9" s="49">
        <f>SUM(F3:F8)</f>
        <v>8934.58</v>
      </c>
    </row>
    <row r="10" spans="1:6">
      <c r="A10" s="171"/>
      <c r="B10" s="171"/>
      <c r="C10" s="172"/>
      <c r="D10" s="173"/>
      <c r="E10" s="173"/>
      <c r="F10" s="173">
        <f>F9</f>
        <v>8934.58</v>
      </c>
    </row>
  </sheetData>
  <mergeCells count="1">
    <mergeCell ref="A1:F1"/>
  </mergeCells>
  <pageMargins left="0.23622047244094491" right="0.16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2</vt:i4>
      </vt:variant>
    </vt:vector>
  </HeadingPairs>
  <TitlesOfParts>
    <vt:vector size="18" baseType="lpstr">
      <vt:lpstr>Лист1</vt:lpstr>
      <vt:lpstr>Січень </vt:lpstr>
      <vt:lpstr>Лютий</vt:lpstr>
      <vt:lpstr>Березень КЗШ </vt:lpstr>
      <vt:lpstr>Березень ДНЗ</vt:lpstr>
      <vt:lpstr>Квітень КЗШ</vt:lpstr>
      <vt:lpstr>Квітень ДНЗ,ПНЗ,ДЮСШ</vt:lpstr>
      <vt:lpstr>Травень КЗШ,ДЮСШ</vt:lpstr>
      <vt:lpstr>Травень ДНЗ,ПНЗ</vt:lpstr>
      <vt:lpstr>Червень ВСІ 2023</vt:lpstr>
      <vt:lpstr>Липень КЗШ-2023 </vt:lpstr>
      <vt:lpstr>Липень-2023 ДНЗ ПНЗ ДЮСШ</vt:lpstr>
      <vt:lpstr>Серпень 2023 КЗШ</vt:lpstr>
      <vt:lpstr>Серпень 2023 ДНЗ,ПНЗ,</vt:lpstr>
      <vt:lpstr>Вересень 2023</vt:lpstr>
      <vt:lpstr>Жовтень</vt:lpstr>
      <vt:lpstr>'Квітень КЗШ'!Область_печати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2024-07-26T14:07:24Z</dcterms:modified>
</cp:coreProperties>
</file>