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68" activeTab="0"/>
  </bookViews>
  <sheets>
    <sheet name="7" sheetId="1" r:id="rId1"/>
  </sheets>
  <definedNames>
    <definedName name="_xlnm.Print_Area" localSheetId="0">'7'!$A$1:$I$23</definedName>
  </definedNames>
  <calcPr fullCalcOnLoad="1"/>
</workbook>
</file>

<file path=xl/sharedStrings.xml><?xml version="1.0" encoding="utf-8"?>
<sst xmlns="http://schemas.openxmlformats.org/spreadsheetml/2006/main" count="20" uniqueCount="17">
  <si>
    <t>70101 (4)</t>
  </si>
  <si>
    <t>70201(2)</t>
  </si>
  <si>
    <t>804+805 (3)</t>
  </si>
  <si>
    <t>70401 (5)</t>
  </si>
  <si>
    <t>70802 (6)</t>
  </si>
  <si>
    <t>ц.р. (7)</t>
  </si>
  <si>
    <t>ср.міс.з/пл</t>
  </si>
  <si>
    <t>130107 (7)</t>
  </si>
  <si>
    <t>ср.дн.зар.</t>
  </si>
  <si>
    <t>159ч</t>
  </si>
  <si>
    <t>168ч</t>
  </si>
  <si>
    <t>отп</t>
  </si>
  <si>
    <t>б/л</t>
  </si>
  <si>
    <t>уч</t>
  </si>
  <si>
    <t>грудень</t>
  </si>
  <si>
    <t>січень</t>
  </si>
  <si>
    <t>відх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</si>
</sst>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0.000000"/>
    <numFmt numFmtId="193" formatCode="0.00000"/>
    <numFmt numFmtId="194" formatCode="_-* #,##0.00\ [$грн.-422]_-;\-* #,##0.00\ [$грн.-422]_-;_-* &quot;-&quot;??\ [$грн.-422]_-;_-@_-"/>
    <numFmt numFmtId="195" formatCode="0.000000000"/>
    <numFmt numFmtId="196" formatCode="0.0000000000"/>
    <numFmt numFmtId="197" formatCode="0.00000000000"/>
    <numFmt numFmtId="198" formatCode="0.00000000"/>
    <numFmt numFmtId="199" formatCode="0.0000000"/>
    <numFmt numFmtId="200" formatCode="[$-422]d\ mmmm\ yyyy&quot; р.&quot;"/>
  </numFmts>
  <fonts count="3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2" applyNumberFormat="0" applyFill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1" borderId="6" applyNumberFormat="0" applyAlignment="0" applyProtection="0"/>
    <xf numFmtId="0" fontId="5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0" fillId="23" borderId="8" applyNumberFormat="0" applyFont="0" applyAlignment="0" applyProtection="0"/>
    <xf numFmtId="0" fontId="31" fillId="2" borderId="9" applyNumberFormat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17" fontId="1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1" fontId="2" fillId="9" borderId="10" xfId="0" applyNumberFormat="1" applyFont="1" applyFill="1" applyBorder="1" applyAlignment="1">
      <alignment horizontal="center"/>
    </xf>
    <xf numFmtId="188" fontId="2" fillId="9" borderId="10" xfId="0" applyNumberFormat="1" applyFont="1" applyFill="1" applyBorder="1" applyAlignment="1">
      <alignment horizontal="center"/>
    </xf>
    <xf numFmtId="2" fontId="2" fillId="9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6"/>
  <sheetViews>
    <sheetView tabSelected="1" view="pageBreakPreview" zoomScale="60" zoomScaleNormal="75" zoomScalePageLayoutView="0" workbookViewId="0" topLeftCell="A1">
      <selection activeCell="L40" sqref="L40"/>
    </sheetView>
  </sheetViews>
  <sheetFormatPr defaultColWidth="9.140625" defaultRowHeight="12.75"/>
  <cols>
    <col min="1" max="1" width="13.421875" style="3" customWidth="1"/>
    <col min="2" max="2" width="10.140625" style="3" customWidth="1"/>
    <col min="3" max="3" width="16.140625" style="3" customWidth="1"/>
    <col min="4" max="4" width="15.57421875" style="3" customWidth="1"/>
    <col min="5" max="5" width="17.140625" style="3" customWidth="1"/>
    <col min="6" max="6" width="14.140625" style="3" customWidth="1"/>
    <col min="7" max="7" width="16.421875" style="3" customWidth="1"/>
    <col min="8" max="8" width="14.140625" style="3" hidden="1" customWidth="1"/>
    <col min="9" max="9" width="16.00390625" style="3" customWidth="1"/>
    <col min="10" max="10" width="9.140625" style="4" customWidth="1"/>
    <col min="11" max="11" width="11.7109375" style="4" customWidth="1"/>
    <col min="12" max="16384" width="9.140625" style="4" customWidth="1"/>
  </cols>
  <sheetData>
    <row r="2" ht="15.75">
      <c r="A2" s="20">
        <v>44013</v>
      </c>
    </row>
    <row r="3" spans="1:10" ht="15.7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"/>
    </row>
    <row r="4" spans="1:10" ht="15.75">
      <c r="A4" s="26">
        <v>1010</v>
      </c>
      <c r="B4" s="6">
        <v>1</v>
      </c>
      <c r="C4" s="22">
        <v>1256</v>
      </c>
      <c r="D4" s="22">
        <v>1639</v>
      </c>
      <c r="E4" s="22">
        <v>63</v>
      </c>
      <c r="F4" s="22">
        <v>119</v>
      </c>
      <c r="G4" s="22">
        <v>9</v>
      </c>
      <c r="H4" s="5"/>
      <c r="I4" s="22">
        <v>117</v>
      </c>
      <c r="J4" s="3"/>
    </row>
    <row r="5" spans="1:9" ht="15.75">
      <c r="A5" s="27"/>
      <c r="B5" s="6">
        <v>2</v>
      </c>
      <c r="C5" s="23">
        <f>((1257*7)+C4)/7</f>
        <v>1436.4285714285713</v>
      </c>
      <c r="D5" s="23">
        <f>((1737*7)+D4)/7</f>
        <v>1971.142857142857</v>
      </c>
      <c r="E5" s="23">
        <f>((66*6)+E4)/7</f>
        <v>65.57142857142857</v>
      </c>
      <c r="F5" s="23">
        <f>((125*6)+F4)/7</f>
        <v>124.14285714285714</v>
      </c>
      <c r="G5" s="23">
        <f>((9*6)+G4)/7</f>
        <v>9</v>
      </c>
      <c r="H5" s="7">
        <f>((1708*1)+H4)/2</f>
        <v>854</v>
      </c>
      <c r="I5" s="23">
        <f>((120*6)+I4)/7</f>
        <v>119.57142857142857</v>
      </c>
    </row>
    <row r="6" spans="1:9" s="3" customFormat="1" ht="15.75">
      <c r="A6" s="26">
        <v>1020</v>
      </c>
      <c r="B6" s="6">
        <v>1</v>
      </c>
      <c r="C6" s="24">
        <v>7950.7</v>
      </c>
      <c r="D6" s="24">
        <v>14131.5</v>
      </c>
      <c r="E6" s="24">
        <v>463.1</v>
      </c>
      <c r="F6" s="24">
        <v>714.1</v>
      </c>
      <c r="G6" s="24">
        <v>69</v>
      </c>
      <c r="H6" s="21"/>
      <c r="I6" s="24">
        <v>645.6</v>
      </c>
    </row>
    <row r="7" spans="1:9" s="3" customFormat="1" ht="15.75">
      <c r="A7" s="27"/>
      <c r="B7" s="6">
        <v>2</v>
      </c>
      <c r="C7" s="24">
        <f>C6+45286.2</f>
        <v>53236.899999999994</v>
      </c>
      <c r="D7" s="24">
        <f>D6+86718.3</f>
        <v>100849.8</v>
      </c>
      <c r="E7" s="24">
        <f>E6+2537.8</f>
        <v>3000.9</v>
      </c>
      <c r="F7" s="24">
        <f>F6+4295.9</f>
        <v>5010</v>
      </c>
      <c r="G7" s="24">
        <f>G6+0</f>
        <v>69</v>
      </c>
      <c r="H7" s="21">
        <f>H6</f>
        <v>0</v>
      </c>
      <c r="I7" s="24">
        <f>I6+3775.2</f>
        <v>4420.8</v>
      </c>
    </row>
    <row r="8" spans="1:9" s="3" customFormat="1" ht="15.75">
      <c r="A8" s="26">
        <v>1030</v>
      </c>
      <c r="B8" s="6">
        <v>1</v>
      </c>
      <c r="C8" s="24">
        <f>C6*17.65%</f>
        <v>1403.29855</v>
      </c>
      <c r="D8" s="24">
        <f>D6*17.93%</f>
        <v>2533.7779499999997</v>
      </c>
      <c r="E8" s="24">
        <f>E6*17.89%</f>
        <v>82.84859</v>
      </c>
      <c r="F8" s="24">
        <f>F6*17.75%</f>
        <v>126.75274999999999</v>
      </c>
      <c r="G8" s="24">
        <f>G6*18%</f>
        <v>12.42</v>
      </c>
      <c r="H8" s="21">
        <f>H6*13.5%</f>
        <v>0</v>
      </c>
      <c r="I8" s="24">
        <f>I6*17.9%</f>
        <v>115.5624</v>
      </c>
    </row>
    <row r="9" spans="1:9" s="3" customFormat="1" ht="15.75">
      <c r="A9" s="27"/>
      <c r="B9" s="6">
        <v>2</v>
      </c>
      <c r="C9" s="24">
        <f>C8+7993</f>
        <v>9396.29855</v>
      </c>
      <c r="D9" s="24">
        <f>D8+15548.7</f>
        <v>18082.47795</v>
      </c>
      <c r="E9" s="24">
        <f>E8+452</f>
        <v>534.8485900000001</v>
      </c>
      <c r="F9" s="24">
        <f>F8+762.6</f>
        <v>889.35275</v>
      </c>
      <c r="G9" s="24">
        <f>G8+0</f>
        <v>12.42</v>
      </c>
      <c r="H9" s="21">
        <f>H8</f>
        <v>0</v>
      </c>
      <c r="I9" s="24">
        <f>I8+672.2</f>
        <v>787.7624000000001</v>
      </c>
    </row>
    <row r="10" spans="1:12" s="3" customFormat="1" ht="15.75">
      <c r="A10" s="26">
        <v>1040</v>
      </c>
      <c r="B10" s="6">
        <v>1</v>
      </c>
      <c r="C10" s="22">
        <f>C4-8</f>
        <v>1248</v>
      </c>
      <c r="D10" s="22">
        <f>D4-8</f>
        <v>1631</v>
      </c>
      <c r="E10" s="22">
        <f>E4-1</f>
        <v>62</v>
      </c>
      <c r="F10" s="22">
        <f>F4-4</f>
        <v>115</v>
      </c>
      <c r="G10" s="22">
        <f>G4-0</f>
        <v>9</v>
      </c>
      <c r="H10" s="5"/>
      <c r="I10" s="22">
        <f>I4-3</f>
        <v>114</v>
      </c>
      <c r="L10" s="1">
        <f>((1253*2)+1259)/3</f>
        <v>1255</v>
      </c>
    </row>
    <row r="11" spans="1:12" ht="15.75">
      <c r="A11" s="27"/>
      <c r="B11" s="6">
        <v>2</v>
      </c>
      <c r="C11" s="23">
        <f>((1243*7)+C10)/7</f>
        <v>1421.2857142857142</v>
      </c>
      <c r="D11" s="23">
        <f>((1654*7)+D10)/7</f>
        <v>1887</v>
      </c>
      <c r="E11" s="23">
        <f>((64*6)+E10)/7</f>
        <v>63.714285714285715</v>
      </c>
      <c r="F11" s="23">
        <f>((115*6)+F10)/7</f>
        <v>115</v>
      </c>
      <c r="G11" s="23">
        <f>((9*6)+G10)/7</f>
        <v>9</v>
      </c>
      <c r="H11" s="7">
        <f>((1248*6)+H10)/7</f>
        <v>1069.7142857142858</v>
      </c>
      <c r="I11" s="23">
        <f>((114*6)+I10)/7</f>
        <v>114</v>
      </c>
      <c r="L11" s="4">
        <f>((1618*2)+D10)/3</f>
        <v>1622.3333333333333</v>
      </c>
    </row>
    <row r="12" spans="1:9" ht="15.75">
      <c r="A12" s="26">
        <v>1050</v>
      </c>
      <c r="B12" s="6">
        <v>1</v>
      </c>
      <c r="C12" s="23">
        <f>C10*184-C21</f>
        <v>229344.2647654893</v>
      </c>
      <c r="D12" s="23">
        <f>D10*184-D21</f>
        <v>299712.0897443009</v>
      </c>
      <c r="E12" s="23">
        <f>E10*184-E21</f>
        <v>11073.873015873016</v>
      </c>
      <c r="F12" s="23">
        <f>F10*176-F21</f>
        <v>19967.234530175705</v>
      </c>
      <c r="G12" s="23">
        <f>G10*176-G21</f>
        <v>1235.5151515151515</v>
      </c>
      <c r="H12" s="7" t="e">
        <f>H10*176-H21</f>
        <v>#DIV/0!</v>
      </c>
      <c r="I12" s="23">
        <f>I10*184-I21</f>
        <v>20725.184149184148</v>
      </c>
    </row>
    <row r="13" spans="1:9" ht="15.75">
      <c r="A13" s="27"/>
      <c r="B13" s="6">
        <v>2</v>
      </c>
      <c r="C13" s="23">
        <f>C12+1182074</f>
        <v>1411418.2647654894</v>
      </c>
      <c r="D13" s="23">
        <f>D12+1594898</f>
        <v>1894610.0897443008</v>
      </c>
      <c r="E13" s="23">
        <f>E12+58799</f>
        <v>69872.87301587302</v>
      </c>
      <c r="F13" s="23">
        <f>F12+106099</f>
        <v>126066.2345301757</v>
      </c>
      <c r="G13" s="23">
        <f>G12+0</f>
        <v>1235.5151515151515</v>
      </c>
      <c r="H13" s="7" t="e">
        <f>H12</f>
        <v>#DIV/0!</v>
      </c>
      <c r="I13" s="23">
        <f>I12+102605</f>
        <v>123330.18414918415</v>
      </c>
    </row>
    <row r="14" spans="1:9" ht="15.75">
      <c r="A14" s="26">
        <v>1060</v>
      </c>
      <c r="B14" s="6">
        <v>1</v>
      </c>
      <c r="C14" s="23">
        <f aca="true" t="shared" si="0" ref="C14:I14">C12-C19-C22</f>
        <v>168655.5276711454</v>
      </c>
      <c r="D14" s="23">
        <f t="shared" si="0"/>
        <v>108672.27154297757</v>
      </c>
      <c r="E14" s="23">
        <f t="shared" si="0"/>
        <v>9597.689556576968</v>
      </c>
      <c r="F14" s="23">
        <f t="shared" si="0"/>
        <v>8289.363419686977</v>
      </c>
      <c r="G14" s="23">
        <f t="shared" si="0"/>
        <v>1235.5151515151515</v>
      </c>
      <c r="H14" s="7" t="e">
        <f t="shared" si="0"/>
        <v>#DIV/0!</v>
      </c>
      <c r="I14" s="23">
        <f t="shared" si="0"/>
        <v>12984.71641684214</v>
      </c>
    </row>
    <row r="15" spans="1:9" ht="14.25" customHeight="1">
      <c r="A15" s="27"/>
      <c r="B15" s="6">
        <v>2</v>
      </c>
      <c r="C15" s="23">
        <f>C14+1103260</f>
        <v>1271915.5276711453</v>
      </c>
      <c r="D15" s="23">
        <f>D14+1516160</f>
        <v>1624832.2715429775</v>
      </c>
      <c r="E15" s="23">
        <f>E14+56149</f>
        <v>65746.68955657697</v>
      </c>
      <c r="F15" s="23">
        <f>F14+102617</f>
        <v>110906.36341968698</v>
      </c>
      <c r="G15" s="23">
        <f>G14+0</f>
        <v>1235.5151515151515</v>
      </c>
      <c r="H15" s="7" t="e">
        <f>H14</f>
        <v>#DIV/0!</v>
      </c>
      <c r="I15" s="23">
        <f>I14+100712</f>
        <v>113696.71641684214</v>
      </c>
    </row>
    <row r="16" spans="1:9" ht="15.75">
      <c r="A16" s="26">
        <v>1070</v>
      </c>
      <c r="B16" s="6">
        <v>1</v>
      </c>
      <c r="C16" s="24">
        <f aca="true" t="shared" si="1" ref="C16:I16">C6/C4*C10</f>
        <v>7900.058598726115</v>
      </c>
      <c r="D16" s="24">
        <f t="shared" si="1"/>
        <v>14062.523794996949</v>
      </c>
      <c r="E16" s="24">
        <f t="shared" si="1"/>
        <v>455.74920634920636</v>
      </c>
      <c r="F16" s="24">
        <f t="shared" si="1"/>
        <v>690.0966386554621</v>
      </c>
      <c r="G16" s="24">
        <f t="shared" si="1"/>
        <v>69</v>
      </c>
      <c r="H16" s="21" t="e">
        <f t="shared" si="1"/>
        <v>#DIV/0!</v>
      </c>
      <c r="I16" s="24">
        <f t="shared" si="1"/>
        <v>629.0461538461539</v>
      </c>
    </row>
    <row r="17" spans="1:9" ht="15.75">
      <c r="A17" s="27"/>
      <c r="B17" s="6">
        <v>2</v>
      </c>
      <c r="C17" s="24">
        <f>C16+44927.6</f>
        <v>52827.65859872611</v>
      </c>
      <c r="D17" s="24">
        <f>D16+84151.4</f>
        <v>98213.92379499694</v>
      </c>
      <c r="E17" s="24">
        <f>E16+2444.9</f>
        <v>2900.6492063492065</v>
      </c>
      <c r="F17" s="24">
        <f>F16+3905.4</f>
        <v>4595.496638655462</v>
      </c>
      <c r="G17" s="24">
        <f>G16+0</f>
        <v>69</v>
      </c>
      <c r="H17" s="21" t="e">
        <f>H16</f>
        <v>#DIV/0!</v>
      </c>
      <c r="I17" s="24">
        <f>I16+3518.5</f>
        <v>4147.546153846154</v>
      </c>
    </row>
    <row r="18" spans="1:9" ht="15.75">
      <c r="A18" s="6"/>
      <c r="B18" s="6"/>
      <c r="C18" s="5"/>
      <c r="D18" s="5"/>
      <c r="E18" s="5"/>
      <c r="F18" s="5"/>
      <c r="G18" s="22"/>
      <c r="H18" s="5"/>
      <c r="I18" s="5"/>
    </row>
    <row r="19" spans="1:10" ht="15.75">
      <c r="A19" s="6"/>
      <c r="B19" s="6">
        <v>305</v>
      </c>
      <c r="C19" s="23">
        <f>(345353+1503049+330019)/C25*22*8</f>
        <v>60567.37552366458</v>
      </c>
      <c r="D19" s="23">
        <f>(9702+1404769+61159+522517+7178458+179892)/D25*22*8</f>
        <v>190992.64413600822</v>
      </c>
      <c r="E19" s="23">
        <f>(38484+26106)/E25*21*8</f>
        <v>1476.183459296048</v>
      </c>
      <c r="F19" s="23">
        <f>(81561+258895+56682)/F25*22*8</f>
        <v>11647.74999579891</v>
      </c>
      <c r="G19" s="23">
        <f>(0)/G25*22*8</f>
        <v>0</v>
      </c>
      <c r="H19" s="7" t="e">
        <f>0/H25*20*8</f>
        <v>#DIV/0!</v>
      </c>
      <c r="I19" s="23">
        <f>(33991+204927+3761)/I25*22*8</f>
        <v>7740.467732342007</v>
      </c>
      <c r="J19" s="4" t="s">
        <v>11</v>
      </c>
    </row>
    <row r="20" spans="1:9" ht="15.75" hidden="1">
      <c r="A20" s="6"/>
      <c r="B20" s="6"/>
      <c r="C20" s="5"/>
      <c r="D20" s="8"/>
      <c r="E20" s="8"/>
      <c r="F20" s="5"/>
      <c r="G20" s="22"/>
      <c r="H20" s="5"/>
      <c r="I20" s="5"/>
    </row>
    <row r="21" spans="1:9" ht="15.75">
      <c r="A21" s="6"/>
      <c r="B21" s="26">
        <v>306</v>
      </c>
      <c r="C21" s="23">
        <f>C25/22</f>
        <v>287.7352345107122</v>
      </c>
      <c r="D21" s="23">
        <f>D25/22</f>
        <v>391.9102556991513</v>
      </c>
      <c r="E21" s="23">
        <f>E25/22</f>
        <v>334.12698412698415</v>
      </c>
      <c r="F21" s="23">
        <f>F25/22</f>
        <v>272.76546982429335</v>
      </c>
      <c r="G21" s="23">
        <f>G25/22</f>
        <v>348.4848484848485</v>
      </c>
      <c r="H21" s="7" t="e">
        <f>H25/20</f>
        <v>#DIV/0!</v>
      </c>
      <c r="I21" s="23">
        <f>I25/22</f>
        <v>250.8158508158508</v>
      </c>
    </row>
    <row r="22" spans="1:10" ht="15.75">
      <c r="A22" s="6"/>
      <c r="B22" s="27"/>
      <c r="C22" s="23">
        <f>(4365)/C21*8</f>
        <v>121.36157067931127</v>
      </c>
      <c r="D22" s="25">
        <f>(1839+472)/D21*8</f>
        <v>47.174065315076255</v>
      </c>
      <c r="E22" s="25">
        <f>(0)/E21*8</f>
        <v>0</v>
      </c>
      <c r="F22" s="25">
        <f>(1027)/F21*8</f>
        <v>30.121114689819354</v>
      </c>
      <c r="G22" s="25">
        <f>(0)/G21*8</f>
        <v>0</v>
      </c>
      <c r="H22" s="8" t="e">
        <f>0/H21*8</f>
        <v>#DIV/0!</v>
      </c>
      <c r="I22" s="8">
        <f>0/I21*8</f>
        <v>0</v>
      </c>
      <c r="J22" s="4" t="s">
        <v>12</v>
      </c>
    </row>
    <row r="23" spans="1:10" ht="15.75">
      <c r="A23" s="6"/>
      <c r="B23" s="6">
        <v>307</v>
      </c>
      <c r="C23" s="7"/>
      <c r="D23" s="5"/>
      <c r="E23" s="5"/>
      <c r="F23" s="8"/>
      <c r="G23" s="25">
        <f>0/G21*8</f>
        <v>0</v>
      </c>
      <c r="H23" s="8" t="e">
        <f>0/H21*8</f>
        <v>#DIV/0!</v>
      </c>
      <c r="I23" s="8">
        <f>569/I21*8</f>
        <v>18.148773234200743</v>
      </c>
      <c r="J23" s="4" t="s">
        <v>13</v>
      </c>
    </row>
    <row r="24" spans="1:9" ht="15.75">
      <c r="A24" s="2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2"/>
      <c r="B25" s="9" t="s">
        <v>6</v>
      </c>
      <c r="C25" s="13">
        <f aca="true" t="shared" si="2" ref="C25:I25">C6/C4*1000</f>
        <v>6330.175159235669</v>
      </c>
      <c r="D25" s="13">
        <f t="shared" si="2"/>
        <v>8622.02562538133</v>
      </c>
      <c r="E25" s="13">
        <f t="shared" si="2"/>
        <v>7350.793650793651</v>
      </c>
      <c r="F25" s="13">
        <f t="shared" si="2"/>
        <v>6000.8403361344535</v>
      </c>
      <c r="G25" s="13">
        <f t="shared" si="2"/>
        <v>7666.666666666667</v>
      </c>
      <c r="H25" s="13" t="e">
        <f t="shared" si="2"/>
        <v>#DIV/0!</v>
      </c>
      <c r="I25" s="13">
        <f t="shared" si="2"/>
        <v>5517.948717948718</v>
      </c>
    </row>
    <row r="26" spans="3:9" ht="15">
      <c r="C26" s="13">
        <f>C25/22/8</f>
        <v>35.966904313839024</v>
      </c>
      <c r="D26" s="13">
        <f aca="true" t="shared" si="3" ref="D26:I26">D25/22/8</f>
        <v>48.988781962393915</v>
      </c>
      <c r="E26" s="13">
        <f t="shared" si="3"/>
        <v>41.76587301587302</v>
      </c>
      <c r="F26" s="13">
        <f t="shared" si="3"/>
        <v>34.09568372803667</v>
      </c>
      <c r="G26" s="13">
        <f t="shared" si="3"/>
        <v>43.56060606060606</v>
      </c>
      <c r="H26" s="13" t="e">
        <f t="shared" si="3"/>
        <v>#DIV/0!</v>
      </c>
      <c r="I26" s="13">
        <f t="shared" si="3"/>
        <v>31.35198135198135</v>
      </c>
    </row>
    <row r="27" spans="2:9" ht="15">
      <c r="B27" s="3" t="s">
        <v>8</v>
      </c>
      <c r="C27" s="13">
        <f>C25/22</f>
        <v>287.7352345107122</v>
      </c>
      <c r="D27" s="13">
        <f aca="true" t="shared" si="4" ref="D27:I27">D25/22</f>
        <v>391.9102556991513</v>
      </c>
      <c r="E27" s="13">
        <f t="shared" si="4"/>
        <v>334.12698412698415</v>
      </c>
      <c r="F27" s="13">
        <f t="shared" si="4"/>
        <v>272.76546982429335</v>
      </c>
      <c r="G27" s="13">
        <f t="shared" si="4"/>
        <v>348.4848484848485</v>
      </c>
      <c r="H27" s="13" t="e">
        <f t="shared" si="4"/>
        <v>#DIV/0!</v>
      </c>
      <c r="I27" s="13">
        <f t="shared" si="4"/>
        <v>250.8158508158508</v>
      </c>
    </row>
    <row r="28" spans="3:9" ht="15" hidden="1">
      <c r="C28" s="3">
        <f>C17/C11/3*1000</f>
        <v>12389.64084132686</v>
      </c>
      <c r="D28" s="3">
        <f>D17/D11/12*1000</f>
        <v>4337.304530780646</v>
      </c>
      <c r="E28" s="3">
        <f>E17/E11/12*1000</f>
        <v>3793.8237003819963</v>
      </c>
      <c r="F28" s="3">
        <f>F17/F11/12*1000</f>
        <v>3330.0700280112046</v>
      </c>
      <c r="G28" s="3">
        <f>G17/G11/12*1000</f>
        <v>638.8888888888889</v>
      </c>
      <c r="H28" s="3" t="e">
        <f>H17/H11/11*1000</f>
        <v>#DIV/0!</v>
      </c>
      <c r="I28" s="3">
        <f>I17/I11/12*1000</f>
        <v>3031.8319838056686</v>
      </c>
    </row>
    <row r="29" spans="3:9" ht="15" hidden="1">
      <c r="C29" s="11"/>
      <c r="D29" s="11"/>
      <c r="E29" s="11"/>
      <c r="F29" s="11"/>
      <c r="G29" s="11"/>
      <c r="H29" s="11"/>
      <c r="I29" s="11"/>
    </row>
    <row r="30" spans="3:9" ht="15" hidden="1">
      <c r="C30" s="12"/>
      <c r="D30" s="12"/>
      <c r="E30" s="12"/>
      <c r="F30" s="12"/>
      <c r="G30" s="12"/>
      <c r="H30" s="12"/>
      <c r="I30" s="12"/>
    </row>
    <row r="31" ht="15" hidden="1"/>
    <row r="32" spans="3:9" ht="15" hidden="1">
      <c r="C32" s="3">
        <f aca="true" t="shared" si="5" ref="C32:I32">C28/22/8</f>
        <v>70.39568659844807</v>
      </c>
      <c r="D32" s="3">
        <f t="shared" si="5"/>
        <v>24.643775743071853</v>
      </c>
      <c r="E32" s="3">
        <f t="shared" si="5"/>
        <v>21.555816479443163</v>
      </c>
      <c r="F32" s="3">
        <f t="shared" si="5"/>
        <v>18.920852431881844</v>
      </c>
      <c r="G32" s="3">
        <f t="shared" si="5"/>
        <v>3.630050505050505</v>
      </c>
      <c r="H32" s="3" t="e">
        <f t="shared" si="5"/>
        <v>#DIV/0!</v>
      </c>
      <c r="I32" s="3">
        <f t="shared" si="5"/>
        <v>17.226318089804934</v>
      </c>
    </row>
    <row r="33" spans="7:9" ht="15">
      <c r="G33" s="14">
        <v>43831</v>
      </c>
      <c r="H33" s="15"/>
      <c r="I33" s="15" t="s">
        <v>9</v>
      </c>
    </row>
    <row r="34" spans="7:9" ht="15">
      <c r="G34" s="14">
        <v>44228</v>
      </c>
      <c r="H34" s="15"/>
      <c r="I34" s="16" t="s">
        <v>10</v>
      </c>
    </row>
    <row r="36" spans="1:9" ht="15">
      <c r="A36" s="17">
        <v>0.25</v>
      </c>
      <c r="B36" s="15" t="s">
        <v>14</v>
      </c>
      <c r="C36" s="15">
        <v>1246</v>
      </c>
      <c r="D36" s="15">
        <v>1572</v>
      </c>
      <c r="E36" s="15">
        <v>77</v>
      </c>
      <c r="F36" s="15">
        <v>125</v>
      </c>
      <c r="G36" s="15">
        <v>20</v>
      </c>
      <c r="H36" s="15"/>
      <c r="I36" s="18">
        <v>110</v>
      </c>
    </row>
    <row r="37" spans="1:9" ht="15">
      <c r="A37" s="15"/>
      <c r="B37" s="15" t="s">
        <v>15</v>
      </c>
      <c r="C37" s="15">
        <f aca="true" t="shared" si="6" ref="C37:I37">C10</f>
        <v>1248</v>
      </c>
      <c r="D37" s="15">
        <f t="shared" si="6"/>
        <v>1631</v>
      </c>
      <c r="E37" s="15">
        <f t="shared" si="6"/>
        <v>62</v>
      </c>
      <c r="F37" s="15">
        <f t="shared" si="6"/>
        <v>115</v>
      </c>
      <c r="G37" s="15">
        <f t="shared" si="6"/>
        <v>9</v>
      </c>
      <c r="H37" s="15">
        <f t="shared" si="6"/>
        <v>0</v>
      </c>
      <c r="I37" s="15">
        <f t="shared" si="6"/>
        <v>114</v>
      </c>
    </row>
    <row r="38" spans="1:9" ht="15">
      <c r="A38" s="15"/>
      <c r="B38" s="15" t="s">
        <v>16</v>
      </c>
      <c r="C38" s="19">
        <f aca="true" t="shared" si="7" ref="C38:I38">C37/C36*100%</f>
        <v>1.0016051364365972</v>
      </c>
      <c r="D38" s="19">
        <f t="shared" si="7"/>
        <v>1.0375318066157762</v>
      </c>
      <c r="E38" s="19">
        <f t="shared" si="7"/>
        <v>0.8051948051948052</v>
      </c>
      <c r="F38" s="19">
        <f t="shared" si="7"/>
        <v>0.92</v>
      </c>
      <c r="G38" s="19">
        <f t="shared" si="7"/>
        <v>0.45</v>
      </c>
      <c r="H38" s="19" t="e">
        <f t="shared" si="7"/>
        <v>#DIV/0!</v>
      </c>
      <c r="I38" s="19">
        <f t="shared" si="7"/>
        <v>1.0363636363636364</v>
      </c>
    </row>
    <row r="39" spans="1:9" ht="1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5">
      <c r="A40" s="17">
        <v>0.1</v>
      </c>
      <c r="B40" s="15" t="s">
        <v>14</v>
      </c>
      <c r="C40" s="18">
        <f>2815.1/1246*1000</f>
        <v>2259.309791332263</v>
      </c>
      <c r="D40" s="18">
        <f>4395.5/1572*1000</f>
        <v>2796.119592875318</v>
      </c>
      <c r="E40" s="18">
        <f>201.8/77*1000</f>
        <v>2620.779220779221</v>
      </c>
      <c r="F40" s="18">
        <f>296.9/125*1000</f>
        <v>2375.2</v>
      </c>
      <c r="G40" s="18">
        <f>54.2/20*1000</f>
        <v>2710</v>
      </c>
      <c r="H40" s="18"/>
      <c r="I40" s="18">
        <f>209.6/110*1000</f>
        <v>1905.4545454545455</v>
      </c>
    </row>
    <row r="41" spans="1:9" ht="15">
      <c r="A41" s="15"/>
      <c r="B41" s="15" t="s">
        <v>15</v>
      </c>
      <c r="C41" s="18">
        <f aca="true" t="shared" si="8" ref="C41:I41">C16/C11*1000</f>
        <v>5558.388801998472</v>
      </c>
      <c r="D41" s="18">
        <f t="shared" si="8"/>
        <v>7452.31785638418</v>
      </c>
      <c r="E41" s="18">
        <f t="shared" si="8"/>
        <v>7153.014449427005</v>
      </c>
      <c r="F41" s="18">
        <f t="shared" si="8"/>
        <v>6000.840336134453</v>
      </c>
      <c r="G41" s="18">
        <f t="shared" si="8"/>
        <v>7666.666666666667</v>
      </c>
      <c r="H41" s="18" t="e">
        <f t="shared" si="8"/>
        <v>#DIV/0!</v>
      </c>
      <c r="I41" s="18">
        <f t="shared" si="8"/>
        <v>5517.948717948718</v>
      </c>
    </row>
    <row r="42" spans="1:9" ht="15">
      <c r="A42" s="15"/>
      <c r="B42" s="15" t="s">
        <v>16</v>
      </c>
      <c r="C42" s="19">
        <f aca="true" t="shared" si="9" ref="C42:I42">C41/C40*100%</f>
        <v>2.4602154265532654</v>
      </c>
      <c r="D42" s="19">
        <f t="shared" si="9"/>
        <v>2.6652357343273647</v>
      </c>
      <c r="E42" s="19">
        <f t="shared" si="9"/>
        <v>2.7293464450241793</v>
      </c>
      <c r="F42" s="19">
        <f t="shared" si="9"/>
        <v>2.5264568609525315</v>
      </c>
      <c r="G42" s="19">
        <f t="shared" si="9"/>
        <v>2.829028290282903</v>
      </c>
      <c r="H42" s="19" t="e">
        <f t="shared" si="9"/>
        <v>#DIV/0!</v>
      </c>
      <c r="I42" s="19">
        <f t="shared" si="9"/>
        <v>2.8958700332746132</v>
      </c>
    </row>
    <row r="46" ht="15">
      <c r="G46" s="4"/>
    </row>
  </sheetData>
  <sheetProtection/>
  <mergeCells count="8">
    <mergeCell ref="A16:A17"/>
    <mergeCell ref="B21:B22"/>
    <mergeCell ref="A4:A5"/>
    <mergeCell ref="A6:A7"/>
    <mergeCell ref="A8:A9"/>
    <mergeCell ref="A10:A11"/>
    <mergeCell ref="A12:A13"/>
    <mergeCell ref="A14:A15"/>
  </mergeCells>
  <printOptions/>
  <pageMargins left="0.75" right="0.75" top="0.57" bottom="0.6" header="0.5" footer="0.5"/>
  <pageSetup horizontalDpi="600" verticalDpi="600" orientation="landscape" paperSize="9" scale="9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2020-08-07T08:26:15Z</cp:lastPrinted>
  <dcterms:created xsi:type="dcterms:W3CDTF">1996-10-08T23:32:33Z</dcterms:created>
  <dcterms:modified xsi:type="dcterms:W3CDTF">2020-08-20T09:08:20Z</dcterms:modified>
  <cp:category/>
  <cp:version/>
  <cp:contentType/>
  <cp:contentStatus/>
</cp:coreProperties>
</file>